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80" yWindow="285" windowWidth="13995" windowHeight="11985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Лист1!$A$1:$H$228</definedName>
  </definedNames>
  <calcPr calcId="145621"/>
</workbook>
</file>

<file path=xl/calcChain.xml><?xml version="1.0" encoding="utf-8"?>
<calcChain xmlns="http://schemas.openxmlformats.org/spreadsheetml/2006/main">
  <c r="H195" i="1" l="1"/>
  <c r="H12" i="1"/>
  <c r="F18" i="1"/>
  <c r="D253" i="1" l="1"/>
  <c r="M16" i="1"/>
  <c r="M15" i="1"/>
  <c r="M14" i="1"/>
  <c r="M13" i="1"/>
  <c r="M12" i="1"/>
  <c r="M211" i="1"/>
  <c r="G209" i="1"/>
  <c r="M225" i="1"/>
  <c r="M228" i="1"/>
  <c r="M210" i="1"/>
  <c r="M213" i="1"/>
  <c r="M199" i="1"/>
  <c r="P125" i="1"/>
  <c r="F90" i="1"/>
  <c r="P76" i="1"/>
  <c r="P90" i="1"/>
  <c r="M221" i="1" l="1"/>
  <c r="M222" i="1"/>
  <c r="M219" i="1"/>
  <c r="M196" i="1"/>
  <c r="M218" i="1"/>
  <c r="M209" i="1"/>
  <c r="M202" i="1"/>
  <c r="M195" i="1"/>
  <c r="M189" i="1"/>
  <c r="M182" i="1"/>
  <c r="M188" i="1"/>
  <c r="M181" i="1"/>
  <c r="M174" i="1"/>
  <c r="M167" i="1"/>
  <c r="M160" i="1"/>
  <c r="P153" i="1"/>
  <c r="P146" i="1"/>
  <c r="M153" i="1"/>
  <c r="M146" i="1"/>
  <c r="M140" i="1"/>
  <c r="M135" i="1"/>
  <c r="M126" i="1"/>
  <c r="M125" i="1"/>
  <c r="M118" i="1"/>
  <c r="M134" i="1"/>
  <c r="M111" i="1"/>
  <c r="M97" i="1"/>
  <c r="M91" i="1"/>
  <c r="M69" i="1"/>
  <c r="M90" i="1"/>
  <c r="F69" i="1"/>
  <c r="M76" i="1"/>
  <c r="M83" i="1"/>
  <c r="M51" i="1"/>
  <c r="M40" i="1"/>
  <c r="M33" i="1"/>
  <c r="M26" i="1"/>
  <c r="M19" i="1"/>
  <c r="D265" i="1" l="1"/>
  <c r="D261" i="1"/>
  <c r="F76" i="1" l="1"/>
  <c r="F153" i="1"/>
  <c r="F83" i="1"/>
  <c r="D263" i="1" l="1"/>
  <c r="D262" i="1"/>
  <c r="D260" i="1"/>
  <c r="D259" i="1"/>
  <c r="D19" i="1"/>
  <c r="D257" i="1" l="1"/>
  <c r="D254" i="1"/>
  <c r="D251" i="1"/>
  <c r="F188" i="1" l="1"/>
  <c r="E188" i="1"/>
  <c r="F181" i="1"/>
  <c r="E181" i="1"/>
  <c r="E134" i="1"/>
  <c r="F125" i="1"/>
  <c r="E125" i="1"/>
  <c r="F111" i="1"/>
  <c r="F91" i="1"/>
  <c r="F92" i="1"/>
  <c r="F51" i="1"/>
  <c r="F33" i="1"/>
  <c r="F26" i="1"/>
  <c r="F174" i="1" l="1"/>
  <c r="F160" i="1"/>
  <c r="G195" i="1"/>
  <c r="E195" i="1"/>
  <c r="F195" i="1"/>
  <c r="D222" i="1"/>
  <c r="F222" i="1"/>
  <c r="E222" i="1"/>
  <c r="D221" i="1"/>
  <c r="F218" i="1"/>
  <c r="E218" i="1"/>
  <c r="H212" i="1"/>
  <c r="H211" i="1"/>
  <c r="H210" i="1"/>
  <c r="H209" i="1"/>
  <c r="F209" i="1"/>
  <c r="F202" i="1"/>
  <c r="E140" i="1" l="1"/>
  <c r="F134" i="1" l="1"/>
  <c r="F118" i="1" s="1"/>
  <c r="K212" i="1" l="1"/>
  <c r="K211" i="1"/>
  <c r="H197" i="1" l="1"/>
  <c r="H14" i="1" s="1"/>
  <c r="D227" i="1"/>
  <c r="D247" i="1" s="1"/>
  <c r="K226" i="1"/>
  <c r="K225" i="1"/>
  <c r="H228" i="1"/>
  <c r="D228" i="1" s="1"/>
  <c r="K210" i="1"/>
  <c r="K213" i="1" s="1"/>
  <c r="K228" i="1" l="1"/>
  <c r="F143" i="1"/>
  <c r="J218" i="1" l="1"/>
  <c r="I195" i="1"/>
  <c r="J188" i="1"/>
  <c r="J174" i="1"/>
  <c r="F215" i="1"/>
  <c r="D214" i="1"/>
  <c r="D215" i="1" s="1"/>
  <c r="E145" i="1" l="1"/>
  <c r="E124" i="1"/>
  <c r="E63" i="1"/>
  <c r="E57" i="1"/>
  <c r="E61" i="1" s="1"/>
  <c r="G198" i="1" l="1"/>
  <c r="G197" i="1"/>
  <c r="G36" i="1"/>
  <c r="H196" i="1" l="1"/>
  <c r="H13" i="1" s="1"/>
  <c r="D226" i="1"/>
  <c r="E219" i="1"/>
  <c r="D218" i="1"/>
  <c r="F217" i="1"/>
  <c r="G213" i="1"/>
  <c r="F212" i="1"/>
  <c r="D212" i="1" s="1"/>
  <c r="F208" i="1"/>
  <c r="H207" i="1"/>
  <c r="H213" i="1" s="1"/>
  <c r="D220" i="1"/>
  <c r="D223" i="1"/>
  <c r="D243" i="1" s="1"/>
  <c r="D224" i="1"/>
  <c r="D225" i="1"/>
  <c r="G206" i="1"/>
  <c r="F205" i="1"/>
  <c r="F201" i="1"/>
  <c r="D206" i="1" l="1"/>
  <c r="D232" i="1"/>
  <c r="D246" i="1"/>
  <c r="F206" i="1"/>
  <c r="D245" i="1"/>
  <c r="F213" i="1"/>
  <c r="D231" i="1"/>
  <c r="D229" i="1"/>
  <c r="F219" i="1"/>
  <c r="D217" i="1"/>
  <c r="D230" i="1" s="1"/>
  <c r="D244" i="1" l="1"/>
  <c r="D219" i="1"/>
  <c r="D233" i="1"/>
  <c r="D195" i="1"/>
  <c r="F163" i="1"/>
  <c r="D248" i="1" l="1"/>
  <c r="E120" i="1"/>
  <c r="E143" i="1"/>
  <c r="D142" i="1"/>
  <c r="D136" i="1"/>
  <c r="F99" i="1"/>
  <c r="E42" i="1"/>
  <c r="D60" i="1"/>
  <c r="F36" i="1"/>
  <c r="D239" i="1" l="1"/>
  <c r="D255" i="1"/>
  <c r="E247" i="1"/>
  <c r="F175" i="1"/>
  <c r="F168" i="1" s="1"/>
  <c r="E169" i="1" l="1"/>
  <c r="E14" i="1" s="1"/>
  <c r="J14" i="1" s="1"/>
  <c r="D26" i="1" l="1"/>
  <c r="D27" i="1"/>
  <c r="F173" i="1" l="1"/>
  <c r="F159" i="1"/>
  <c r="F145" i="1" s="1"/>
  <c r="F187" i="1"/>
  <c r="F180" i="1"/>
  <c r="F152" i="1"/>
  <c r="F133" i="1" l="1"/>
  <c r="F137" i="1" s="1"/>
  <c r="F124" i="1" l="1"/>
  <c r="F117" i="1" s="1"/>
  <c r="F82" i="1"/>
  <c r="F75" i="1"/>
  <c r="E133" i="1" l="1"/>
  <c r="F103" i="1"/>
  <c r="F32" i="1" l="1"/>
  <c r="F110" i="1"/>
  <c r="F89" i="1"/>
  <c r="F50" i="1"/>
  <c r="F68" i="1" l="1"/>
  <c r="D32" i="1"/>
  <c r="F39" i="1"/>
  <c r="F25" i="1" l="1"/>
  <c r="E194" i="1" l="1"/>
  <c r="F166" i="1"/>
  <c r="E180" i="1"/>
  <c r="D180" i="1" s="1"/>
  <c r="D173" i="1"/>
  <c r="D159" i="1"/>
  <c r="D152" i="1"/>
  <c r="D145" i="1"/>
  <c r="D139" i="1"/>
  <c r="D133" i="1"/>
  <c r="F119" i="1"/>
  <c r="E119" i="1"/>
  <c r="E118" i="1"/>
  <c r="E117" i="1"/>
  <c r="D124" i="1"/>
  <c r="D103" i="1"/>
  <c r="D50" i="1"/>
  <c r="D25" i="1"/>
  <c r="E199" i="1" l="1"/>
  <c r="D117" i="1"/>
  <c r="G196" i="1" l="1"/>
  <c r="G194" i="1"/>
  <c r="G193" i="1"/>
  <c r="G199" i="1" l="1"/>
  <c r="G116" i="1"/>
  <c r="F193" i="1"/>
  <c r="F194" i="1"/>
  <c r="F196" i="1"/>
  <c r="D196" i="1" s="1"/>
  <c r="G122" i="1" l="1"/>
  <c r="G10" i="1"/>
  <c r="E187" i="1"/>
  <c r="D204" i="1" l="1"/>
  <c r="F79" i="1"/>
  <c r="E166" i="1" l="1"/>
  <c r="D166" i="1" s="1"/>
  <c r="E185" i="1"/>
  <c r="F20" i="1"/>
  <c r="F19" i="1"/>
  <c r="G18" i="1"/>
  <c r="D18" i="1" s="1"/>
  <c r="G19" i="1"/>
  <c r="G20" i="1"/>
  <c r="G21" i="1"/>
  <c r="G22" i="1"/>
  <c r="G37" i="1"/>
  <c r="D34" i="1" l="1"/>
  <c r="G23" i="1"/>
  <c r="D20" i="1"/>
  <c r="D35" i="1" l="1"/>
  <c r="F80" i="1"/>
  <c r="F31" i="1"/>
  <c r="F17" i="1" s="1"/>
  <c r="D17" i="1" l="1"/>
  <c r="E151" i="1"/>
  <c r="E123" i="1"/>
  <c r="E144" i="1" l="1"/>
  <c r="E150" i="1" s="1"/>
  <c r="E157" i="1"/>
  <c r="D151" i="1"/>
  <c r="F123" i="1"/>
  <c r="D123" i="1" s="1"/>
  <c r="D144" i="1" l="1"/>
  <c r="E132" i="1"/>
  <c r="E137" i="1" s="1"/>
  <c r="E39" i="1"/>
  <c r="E62" i="1"/>
  <c r="E38" i="1" l="1"/>
  <c r="E66" i="1"/>
  <c r="F156" i="1"/>
  <c r="F149" i="1" s="1"/>
  <c r="F167" i="1" l="1"/>
  <c r="J167" i="1" s="1"/>
  <c r="E41" i="1" l="1"/>
  <c r="E40" i="1"/>
  <c r="D66" i="1"/>
  <c r="D63" i="1"/>
  <c r="D64" i="1"/>
  <c r="D65" i="1"/>
  <c r="D62" i="1"/>
  <c r="D61" i="1"/>
  <c r="D57" i="1"/>
  <c r="D58" i="1"/>
  <c r="D59" i="1"/>
  <c r="D56" i="1"/>
  <c r="E246" i="1" l="1"/>
  <c r="D236" i="1"/>
  <c r="D252" i="1"/>
  <c r="E244" i="1"/>
  <c r="D38" i="1"/>
  <c r="E44" i="1"/>
  <c r="D201" i="1"/>
  <c r="D140" i="1"/>
  <c r="D141" i="1"/>
  <c r="D238" i="1" s="1"/>
  <c r="D138" i="1"/>
  <c r="D235" i="1" s="1"/>
  <c r="D134" i="1"/>
  <c r="D135" i="1"/>
  <c r="D126" i="1"/>
  <c r="E129" i="1"/>
  <c r="D175" i="1"/>
  <c r="D174" i="1"/>
  <c r="E243" i="1" l="1"/>
  <c r="E245" i="1"/>
  <c r="E248" i="1" s="1"/>
  <c r="D237" i="1"/>
  <c r="D241" i="1" s="1"/>
  <c r="D143" i="1"/>
  <c r="E11" i="1"/>
  <c r="E167" i="1"/>
  <c r="E168" i="1"/>
  <c r="E13" i="1" s="1"/>
  <c r="J13" i="1" s="1"/>
  <c r="E165" i="1"/>
  <c r="E12" i="1" l="1"/>
  <c r="J12" i="1" s="1"/>
  <c r="D240" i="1"/>
  <c r="E171" i="1"/>
  <c r="D207" i="1" l="1"/>
  <c r="F186" i="1" l="1"/>
  <c r="F172" i="1"/>
  <c r="F179" i="1"/>
  <c r="D186" i="1" l="1"/>
  <c r="F128" i="1" l="1"/>
  <c r="F121" i="1" s="1"/>
  <c r="F120" i="1"/>
  <c r="F197" i="1"/>
  <c r="D210" i="1"/>
  <c r="D208" i="1"/>
  <c r="D203" i="1"/>
  <c r="D202" i="1"/>
  <c r="D200" i="1"/>
  <c r="H198" i="1"/>
  <c r="H15" i="1" s="1"/>
  <c r="H194" i="1"/>
  <c r="H193" i="1"/>
  <c r="H10" i="1" s="1"/>
  <c r="H11" i="1" l="1"/>
  <c r="H16" i="1" s="1"/>
  <c r="D194" i="1"/>
  <c r="D197" i="1"/>
  <c r="D193" i="1"/>
  <c r="G11" i="1"/>
  <c r="G13" i="1"/>
  <c r="H199" i="1"/>
  <c r="D211" i="1"/>
  <c r="D209" i="1"/>
  <c r="D213" i="1" l="1"/>
  <c r="F198" i="1"/>
  <c r="G14" i="1"/>
  <c r="G12" i="1"/>
  <c r="G15" i="1"/>
  <c r="D205" i="1"/>
  <c r="L12" i="1" l="1"/>
  <c r="G16" i="1"/>
  <c r="D198" i="1"/>
  <c r="F199" i="1"/>
  <c r="D199" i="1" l="1"/>
  <c r="I199" i="1" s="1"/>
  <c r="F116" i="1"/>
  <c r="F122" i="1" s="1"/>
  <c r="E164" i="1" l="1"/>
  <c r="D162" i="1"/>
  <c r="D161" i="1"/>
  <c r="D163" i="1" l="1"/>
  <c r="E116" i="1"/>
  <c r="E10" i="1" s="1"/>
  <c r="E16" i="1" s="1"/>
  <c r="F164" i="1" l="1"/>
  <c r="E122" i="1"/>
  <c r="F191" i="1" l="1"/>
  <c r="F177" i="1"/>
  <c r="F169" i="1" l="1"/>
  <c r="F184" i="1"/>
  <c r="F170" i="1" s="1"/>
  <c r="F178" i="1"/>
  <c r="F129" i="1"/>
  <c r="F185" i="1" l="1"/>
  <c r="D120" i="1"/>
  <c r="F148" i="1"/>
  <c r="D149" i="1"/>
  <c r="F114" i="1" l="1"/>
  <c r="F115" i="1" s="1"/>
  <c r="D115" i="1" s="1"/>
  <c r="F157" i="1"/>
  <c r="F107" i="1" l="1"/>
  <c r="D93" i="1"/>
  <c r="D85" i="1"/>
  <c r="F100" i="1" l="1"/>
  <c r="F108" i="1"/>
  <c r="D108" i="1" s="1"/>
  <c r="D92" i="1"/>
  <c r="F86" i="1"/>
  <c r="D86" i="1" s="1"/>
  <c r="D53" i="1" l="1"/>
  <c r="F71" i="1"/>
  <c r="D71" i="1" s="1"/>
  <c r="D78" i="1"/>
  <c r="F54" i="1"/>
  <c r="F55" i="1" s="1"/>
  <c r="D55" i="1" s="1"/>
  <c r="F42" i="1"/>
  <c r="D28" i="1"/>
  <c r="D42" i="1" l="1"/>
  <c r="F29" i="1"/>
  <c r="F21" i="1"/>
  <c r="D36" i="1"/>
  <c r="F37" i="1"/>
  <c r="F72" i="1"/>
  <c r="D72" i="1" s="1"/>
  <c r="D79" i="1"/>
  <c r="F43" i="1"/>
  <c r="D43" i="1" s="1"/>
  <c r="D54" i="1"/>
  <c r="F22" i="1" l="1"/>
  <c r="F23" i="1" s="1"/>
  <c r="D29" i="1"/>
  <c r="F14" i="1"/>
  <c r="D14" i="1" s="1"/>
  <c r="D21" i="1"/>
  <c r="D168" i="1"/>
  <c r="D167" i="1"/>
  <c r="D169" i="1"/>
  <c r="D170" i="1"/>
  <c r="D187" i="1"/>
  <c r="D188" i="1"/>
  <c r="D189" i="1"/>
  <c r="D190" i="1"/>
  <c r="D191" i="1"/>
  <c r="D181" i="1"/>
  <c r="D182" i="1"/>
  <c r="D183" i="1"/>
  <c r="D184" i="1"/>
  <c r="D179" i="1"/>
  <c r="F15" i="1" l="1"/>
  <c r="D15" i="1" s="1"/>
  <c r="D22" i="1"/>
  <c r="D23" i="1" s="1"/>
  <c r="I23" i="1" s="1"/>
  <c r="D185" i="1"/>
  <c r="D192" i="1"/>
  <c r="D176" i="1"/>
  <c r="D177" i="1"/>
  <c r="F147" i="1" l="1"/>
  <c r="F146" i="1"/>
  <c r="F12" i="1" s="1"/>
  <c r="D148" i="1"/>
  <c r="D160" i="1"/>
  <c r="D153" i="1"/>
  <c r="D154" i="1"/>
  <c r="D155" i="1"/>
  <c r="D156" i="1"/>
  <c r="F150" i="1" l="1"/>
  <c r="D147" i="1"/>
  <c r="D157" i="1"/>
  <c r="D146" i="1"/>
  <c r="D150" i="1" s="1"/>
  <c r="D164" i="1"/>
  <c r="D119" i="1"/>
  <c r="D118" i="1"/>
  <c r="D121" i="1"/>
  <c r="D132" i="1" l="1"/>
  <c r="D137" i="1" s="1"/>
  <c r="G131" i="1"/>
  <c r="F131" i="1"/>
  <c r="D130" i="1"/>
  <c r="D128" i="1"/>
  <c r="D127" i="1"/>
  <c r="D125" i="1"/>
  <c r="F98" i="1"/>
  <c r="D98" i="1" s="1"/>
  <c r="F97" i="1"/>
  <c r="D97" i="1" s="1"/>
  <c r="F96" i="1"/>
  <c r="D99" i="1"/>
  <c r="D100" i="1"/>
  <c r="D111" i="1"/>
  <c r="D112" i="1"/>
  <c r="D113" i="1"/>
  <c r="D114" i="1"/>
  <c r="D110" i="1"/>
  <c r="D104" i="1"/>
  <c r="D105" i="1"/>
  <c r="D106" i="1"/>
  <c r="D107" i="1"/>
  <c r="D69" i="1"/>
  <c r="F70" i="1"/>
  <c r="D70" i="1" s="1"/>
  <c r="D68" i="1"/>
  <c r="F101" i="1" l="1"/>
  <c r="D101" i="1" s="1"/>
  <c r="I101" i="1" s="1"/>
  <c r="D116" i="1"/>
  <c r="D122" i="1" s="1"/>
  <c r="I122" i="1" s="1"/>
  <c r="D129" i="1"/>
  <c r="D131" i="1"/>
  <c r="D96" i="1"/>
  <c r="D73" i="1"/>
  <c r="I73" i="1" s="1"/>
  <c r="F73" i="1"/>
  <c r="F94" i="1"/>
  <c r="D90" i="1"/>
  <c r="D91" i="1"/>
  <c r="D89" i="1"/>
  <c r="F87" i="1"/>
  <c r="D83" i="1"/>
  <c r="D84" i="1"/>
  <c r="D82" i="1"/>
  <c r="D75" i="1"/>
  <c r="F30" i="1"/>
  <c r="D76" i="1"/>
  <c r="D77" i="1"/>
  <c r="F41" i="1"/>
  <c r="F40" i="1"/>
  <c r="F11" i="1"/>
  <c r="D51" i="1"/>
  <c r="D52" i="1"/>
  <c r="D33" i="1"/>
  <c r="D37" i="1" s="1"/>
  <c r="F165" i="1"/>
  <c r="F171" i="1" s="1"/>
  <c r="E192" i="1"/>
  <c r="F192" i="1"/>
  <c r="I150" i="1"/>
  <c r="D172" i="1"/>
  <c r="D165" i="1" s="1"/>
  <c r="D171" i="1" s="1"/>
  <c r="I171" i="1" s="1"/>
  <c r="K12" i="1" l="1"/>
  <c r="D12" i="1"/>
  <c r="D80" i="1"/>
  <c r="D39" i="1"/>
  <c r="D11" i="1"/>
  <c r="D41" i="1"/>
  <c r="F13" i="1"/>
  <c r="D13" i="1" s="1"/>
  <c r="F44" i="1"/>
  <c r="D40" i="1"/>
  <c r="F10" i="1"/>
  <c r="D178" i="1"/>
  <c r="D87" i="1"/>
  <c r="D30" i="1"/>
  <c r="D94" i="1"/>
  <c r="D44" i="1" l="1"/>
  <c r="I44" i="1" s="1"/>
  <c r="F16" i="1"/>
  <c r="D10" i="1"/>
  <c r="D16" i="1" s="1"/>
</calcChain>
</file>

<file path=xl/sharedStrings.xml><?xml version="1.0" encoding="utf-8"?>
<sst xmlns="http://schemas.openxmlformats.org/spreadsheetml/2006/main" count="159" uniqueCount="80">
  <si>
    <t>«Приложение 6</t>
  </si>
  <si>
    <t>к государственной программе…</t>
  </si>
  <si>
    <t>ПЛАН</t>
  </si>
  <si>
    <t>реализации государственной программы Ленинградской области</t>
  </si>
  <si>
    <t>"Охрана окружающей среды Ленинградской области" на 2019-2024 годы</t>
  </si>
  <si>
    <t>Наименование государственной программы, подпрограммы, основного мероприятия</t>
  </si>
  <si>
    <t>Ответственный исполнитель, соисполнители, участники</t>
  </si>
  <si>
    <t>Годы реализации</t>
  </si>
  <si>
    <t>Оценка расходов (тыс. рублей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</si>
  <si>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</si>
  <si>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</si>
  <si>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</si>
  <si>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</si>
  <si>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</si>
  <si>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Государственная программа Ленинградской области "Охрана окружающей среды Ленинградской области"</t>
  </si>
  <si>
    <t>Ответственный исполнитель - Комитет по природным ресурсам Ленинградской области</t>
  </si>
  <si>
    <t>Итого</t>
  </si>
  <si>
    <t>Подпрограмма "Мониторинг, регулирование качества окружающей среды и формирование экологической культуры"</t>
  </si>
  <si>
    <t>Комитет по природным ресурсам Ленинградской области</t>
  </si>
  <si>
    <t>Основное мероприятие 1.1 "Мониторинг состояния окружающей среды и обеспечение экологической безопасности"</t>
  </si>
  <si>
    <t>Основное мероприятие 1.2 "Формирование экологической культуры населения Ленинградской области"</t>
  </si>
  <si>
    <t>Подпрограмма "Развитие водохозяйственного комплекса"</t>
  </si>
  <si>
    <t>Основное мероприятие 2.1 "Защита от негативного воздействия вод и экологическая реабилитация водных объектов"</t>
  </si>
  <si>
    <t>Основное мероприятие 2.2 "Обеспечение безопасности гидротехнических сооружений"</t>
  </si>
  <si>
    <t>Основное мероприятие 2.3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</si>
  <si>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Основное мероприятие 2.4. Федеральный проект «Сохранение уникальных водных объектов» (региональный проект «Сохранение уникальных водных объектов (Ленинградская область)»)</t>
  </si>
  <si>
    <t>Подпрограмма "Особо охраняемые природные территории"</t>
  </si>
  <si>
    <t>Основное мероприятие 3.1 "Обеспечение управления и организация функционирования особо охраняемых природных территорий Ленинградской области"</t>
  </si>
  <si>
    <t>Основное мероприятие 3.2. «Развитие системы особо охраняемых природных территорий Ленинградской области»</t>
  </si>
  <si>
    <t>Основное мероприятие 3.3 «Организация и проведение государственной экологической экспертизы объектов регионального уровня»</t>
  </si>
  <si>
    <t>Подпрограмма "Минерально-сырьевая база"</t>
  </si>
  <si>
    <t>Основное мероприятие  4.1. "Обеспечение реализации государственных функций в сфере недропользования, охраны окружающей среды, водных отношений"</t>
  </si>
  <si>
    <t>Основное мероприятие 4.2  "Геологическое изучение и использование минерально-сырьевой базы"</t>
  </si>
  <si>
    <t>Подпрограмма "Развитие лесного хозяйства"</t>
  </si>
  <si>
    <t>Основное мероприятие 5.1 "Обеспечение государственного управления и реализации полномочий в области лесных отношений"</t>
  </si>
  <si>
    <t>Комитет по природным ресурсам Ленинградской области "</t>
  </si>
  <si>
    <t>Основное мероприятие 5.2 "Господдержка работы школьных лесничеств"</t>
  </si>
  <si>
    <t>Основное мероприятие 5.3 "Обеспечение охраны, защиты, воспроизводства лесов на землях лесного фонда"</t>
  </si>
  <si>
    <t>Основное мероприятие 5.4 Федеральный проект «Сохранение лесов» (региональный проект «Сохранение лесов» (Ленинградская область)»)</t>
  </si>
  <si>
    <t>Подпрограмма "Экологический надзор"</t>
  </si>
  <si>
    <t>Комитет государственного экологического надзора Ленинградской области</t>
  </si>
  <si>
    <t>Основное мероприятие 6.1 «Обеспечение реализации государственных полномочий в сфере государственного экологического надзора»</t>
  </si>
  <si>
    <t>Основное мероприятие 6.2. «Организация и осуществление государственного экологического надзора»</t>
  </si>
  <si>
    <t>Подпрограмма "Животный мир"</t>
  </si>
  <si>
    <t>Комитет по охране, контролю и регулированию использования объектов животного мира Ленинградской области</t>
  </si>
  <si>
    <t>Основное мероприятие 7.1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</si>
  <si>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7.2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</si>
  <si>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7.3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</si>
  <si>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"Обращение с отходами"</t>
  </si>
  <si>
    <t>Основное мероприятие 8.1 "Обеспечение реализации государственных функций в сфере обращения с отходами"</t>
  </si>
  <si>
    <t>Основное мероприятие 8.2 "Создание системы обращения с отходами производства и потребления на территории Ленинградской области"</t>
  </si>
  <si>
    <t>Основное мероприятие 8.3. Федеральный проект "Чистая страна"  (региональный проект "Чистая страна (Ленинградская область)")</t>
  </si>
  <si>
    <t>Основное мероприятие 8.4. Федеральный проект "Комплексная система обращения с твердыми коммунальными отходами" (региональный проект "Комплексная система обращения с твердыми коммунальными отходами (Ленинградская область)" )</t>
  </si>
  <si>
    <t>Комитет Ленинградской области по обращению с отходами</t>
  </si>
  <si>
    <t>всего проекты</t>
  </si>
  <si>
    <t>всего проекты отходы</t>
  </si>
  <si>
    <t>Ленинградский областной комитет по управлению государственным имуществом</t>
  </si>
  <si>
    <t>проекты</t>
  </si>
  <si>
    <t>отходы</t>
  </si>
  <si>
    <t>все</t>
  </si>
  <si>
    <t>прочие</t>
  </si>
  <si>
    <t>Комитет Ленинградской области по обращению с отходами, Ленинградский областной комитет по управлению государственным имуществом</t>
  </si>
  <si>
    <t>в том числе на участие Ленинградской области в уставном капитале АО «Невский экологический оператор» в виде оплаты акций, распределенных при учреждении общества, в целях ведения уставной деятельности</t>
  </si>
  <si>
    <t>Всего</t>
  </si>
  <si>
    <t xml:space="preserve">проекты отходы </t>
  </si>
  <si>
    <t>закон</t>
  </si>
  <si>
    <t>закон - 82087,4</t>
  </si>
  <si>
    <t>закон 12122,9</t>
  </si>
  <si>
    <t>закон 387,8</t>
  </si>
  <si>
    <t>передвижки</t>
  </si>
  <si>
    <t>закон - 94598,1</t>
  </si>
  <si>
    <t>закон 112756,0</t>
  </si>
  <si>
    <t>закон 1207442,8</t>
  </si>
  <si>
    <t>закон - 81607,5</t>
  </si>
  <si>
    <t>закон - 78817,7</t>
  </si>
  <si>
    <t xml:space="preserve">закон </t>
  </si>
  <si>
    <t>уменьшение</t>
  </si>
  <si>
    <t>закон 428093,3</t>
  </si>
  <si>
    <t>закон 53543</t>
  </si>
  <si>
    <t xml:space="preserve">Приоритетный проект "Создание системы обращения с твердыми коммунальными отходами на территории Ленинградской области. 1 этап: Проектирование и строительство объекта по переработке и размещению твердых коммунальных и отдельных видов промышленных отходов в муниципальном образовании Кингисеппский муниципальный район"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</si>
</sst>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0" borderId="0" xfId="0" applyFont="1" applyAlignment="1">
      <alignment horizontal="right" vertical="center"/>
    </xf>
    <xf numFmtId="0" fontId="0" fillId="0" borderId="0" xfId="0" applyFont="1"/>
    <xf numFmtId="165" fontId="1" fillId="0" borderId="0" xfId="0" applyNumberFormat="1" applyFont="1"/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2" fontId="0" fillId="0" borderId="0" xfId="0" applyNumberFormat="1" applyFont="1" applyBorder="1"/>
    <xf numFmtId="2" fontId="0" fillId="0" borderId="0" xfId="0" applyNumberFormat="1" applyFont="1"/>
    <xf numFmtId="165" fontId="0" fillId="0" borderId="0" xfId="0" applyNumberFormat="1" applyFont="1"/>
    <xf numFmtId="165" fontId="0" fillId="0" borderId="0" xfId="0" applyNumberFormat="1" applyFont="1" applyBorder="1"/>
    <xf numFmtId="2" fontId="2" fillId="0" borderId="0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2" fillId="0" borderId="2" xfId="0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3" borderId="0" xfId="0" applyFont="1" applyFill="1"/>
    <xf numFmtId="0" fontId="2" fillId="3" borderId="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5" fontId="0" fillId="3" borderId="0" xfId="0" applyNumberFormat="1" applyFont="1" applyFill="1"/>
    <xf numFmtId="164" fontId="0" fillId="3" borderId="0" xfId="0" applyNumberFormat="1" applyFont="1" applyFill="1"/>
    <xf numFmtId="0" fontId="0" fillId="0" borderId="0" xfId="0" applyFont="1" applyAlignment="1">
      <alignment horizontal="right"/>
    </xf>
    <xf numFmtId="165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5" fontId="0" fillId="2" borderId="0" xfId="0" applyNumberFormat="1" applyFont="1" applyFill="1"/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/>
    <xf numFmtId="165" fontId="4" fillId="3" borderId="20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22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/>
    </xf>
    <xf numFmtId="165" fontId="6" fillId="3" borderId="0" xfId="0" applyNumberFormat="1" applyFont="1" applyFill="1"/>
    <xf numFmtId="0" fontId="2" fillId="3" borderId="7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2" fontId="2" fillId="3" borderId="6" xfId="0" applyNumberFormat="1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5"/>
  <sheetViews>
    <sheetView tabSelected="1" view="pageBreakPreview" zoomScale="75" zoomScaleNormal="100" zoomScaleSheetLayoutView="75" workbookViewId="0">
      <selection activeCell="A270" sqref="A270"/>
    </sheetView>
  </sheetViews>
  <sheetFormatPr defaultRowHeight="15" x14ac:dyDescent="0.25"/>
  <cols>
    <col min="1" max="1" width="53" style="4" customWidth="1"/>
    <col min="2" max="2" width="32.7109375" style="4" customWidth="1"/>
    <col min="3" max="3" width="16.42578125" style="4" customWidth="1"/>
    <col min="4" max="4" width="20.5703125" style="39" customWidth="1"/>
    <col min="5" max="5" width="15.140625" style="39" customWidth="1"/>
    <col min="6" max="6" width="18.5703125" style="39" customWidth="1"/>
    <col min="7" max="7" width="14" style="4" customWidth="1"/>
    <col min="8" max="8" width="18.85546875" style="4" customWidth="1"/>
    <col min="9" max="9" width="14.7109375" style="4" hidden="1" customWidth="1"/>
    <col min="10" max="10" width="11.7109375" style="4" hidden="1" customWidth="1"/>
    <col min="11" max="11" width="14.28515625" style="4" hidden="1" customWidth="1"/>
    <col min="12" max="12" width="12.7109375" style="4" hidden="1" customWidth="1"/>
    <col min="13" max="13" width="12.28515625" style="4" hidden="1" customWidth="1"/>
    <col min="14" max="14" width="11.28515625" style="4" hidden="1" customWidth="1"/>
    <col min="15" max="16" width="0" style="4" hidden="1" customWidth="1"/>
    <col min="17" max="16384" width="9.140625" style="4"/>
  </cols>
  <sheetData>
    <row r="1" spans="1:14" ht="15.75" x14ac:dyDescent="0.25">
      <c r="A1" s="1"/>
      <c r="B1" s="1"/>
      <c r="C1" s="1"/>
      <c r="D1" s="2"/>
      <c r="E1" s="2"/>
      <c r="F1" s="2"/>
      <c r="G1" s="1"/>
      <c r="H1" s="3" t="s">
        <v>0</v>
      </c>
    </row>
    <row r="2" spans="1:14" ht="15.75" x14ac:dyDescent="0.25">
      <c r="A2" s="5"/>
      <c r="B2" s="1"/>
      <c r="C2" s="1"/>
      <c r="D2" s="2"/>
      <c r="E2" s="2"/>
      <c r="F2" s="2"/>
      <c r="G2" s="1"/>
      <c r="H2" s="3" t="s">
        <v>1</v>
      </c>
    </row>
    <row r="3" spans="1:14" ht="15.75" x14ac:dyDescent="0.25">
      <c r="A3" s="105" t="s">
        <v>2</v>
      </c>
      <c r="B3" s="105"/>
      <c r="C3" s="105"/>
      <c r="D3" s="105"/>
      <c r="E3" s="105"/>
      <c r="F3" s="105"/>
      <c r="G3" s="105"/>
      <c r="H3" s="105"/>
    </row>
    <row r="4" spans="1:14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14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14" ht="16.5" thickBot="1" x14ac:dyDescent="0.3">
      <c r="A6" s="6"/>
      <c r="B6" s="6"/>
      <c r="C6" s="6"/>
      <c r="D6" s="7"/>
      <c r="E6" s="7"/>
      <c r="F6" s="7"/>
      <c r="G6" s="8"/>
      <c r="H6" s="8"/>
    </row>
    <row r="7" spans="1:14" ht="16.5" thickBot="1" x14ac:dyDescent="0.3">
      <c r="A7" s="106" t="s">
        <v>5</v>
      </c>
      <c r="B7" s="106" t="s">
        <v>6</v>
      </c>
      <c r="C7" s="106" t="s">
        <v>7</v>
      </c>
      <c r="D7" s="108" t="s">
        <v>8</v>
      </c>
      <c r="E7" s="109"/>
      <c r="F7" s="109"/>
      <c r="G7" s="109"/>
      <c r="H7" s="110"/>
    </row>
    <row r="8" spans="1:14" ht="39.75" customHeight="1" thickBot="1" x14ac:dyDescent="0.3">
      <c r="A8" s="107"/>
      <c r="B8" s="107"/>
      <c r="C8" s="107"/>
      <c r="D8" s="9" t="s">
        <v>9</v>
      </c>
      <c r="E8" s="9" t="s">
        <v>10</v>
      </c>
      <c r="F8" s="9" t="s">
        <v>11</v>
      </c>
      <c r="G8" s="10" t="s">
        <v>12</v>
      </c>
      <c r="H8" s="10" t="s">
        <v>13</v>
      </c>
    </row>
    <row r="9" spans="1:14" ht="16.5" thickBot="1" x14ac:dyDescent="0.3">
      <c r="A9" s="11">
        <v>1</v>
      </c>
      <c r="B9" s="10">
        <v>2</v>
      </c>
      <c r="C9" s="10">
        <v>3</v>
      </c>
      <c r="D9" s="9">
        <v>4</v>
      </c>
      <c r="E9" s="9">
        <v>5</v>
      </c>
      <c r="F9" s="9">
        <v>6</v>
      </c>
      <c r="G9" s="10">
        <v>7</v>
      </c>
      <c r="H9" s="10">
        <v>8</v>
      </c>
    </row>
    <row r="10" spans="1:14" ht="16.5" thickBot="1" x14ac:dyDescent="0.3">
      <c r="A10" s="71" t="s">
        <v>14</v>
      </c>
      <c r="B10" s="86" t="s">
        <v>15</v>
      </c>
      <c r="C10" s="10">
        <v>2019</v>
      </c>
      <c r="D10" s="12">
        <f t="shared" ref="D10:D15" si="0">SUM(E10:H10)</f>
        <v>2416034.5999999996</v>
      </c>
      <c r="E10" s="13">
        <f>SUM(E38+E144+E116+E193+E165)</f>
        <v>646151.1</v>
      </c>
      <c r="F10" s="14">
        <f t="shared" ref="F10:H15" si="1">SUM(F17+F38+F67+F95+F116+F144+F165+F193)</f>
        <v>1601033.2999999998</v>
      </c>
      <c r="G10" s="14">
        <f t="shared" si="1"/>
        <v>8856.4</v>
      </c>
      <c r="H10" s="14">
        <f t="shared" si="1"/>
        <v>159993.79999999999</v>
      </c>
      <c r="K10" s="15"/>
      <c r="L10" s="15"/>
      <c r="M10" s="16"/>
      <c r="N10" s="17"/>
    </row>
    <row r="11" spans="1:14" ht="16.5" thickBot="1" x14ac:dyDescent="0.3">
      <c r="A11" s="72"/>
      <c r="B11" s="87"/>
      <c r="C11" s="9">
        <v>2020</v>
      </c>
      <c r="D11" s="12">
        <f t="shared" si="0"/>
        <v>2770118.29104</v>
      </c>
      <c r="E11" s="13">
        <f>SUM(E18+E39+E68+E96+E117+E145+E166+E194)</f>
        <v>781494.70000000007</v>
      </c>
      <c r="F11" s="14">
        <f t="shared" si="1"/>
        <v>1967665.6910399999</v>
      </c>
      <c r="G11" s="14">
        <f t="shared" si="1"/>
        <v>13860.4</v>
      </c>
      <c r="H11" s="14">
        <f>SUM(H18+H39+H68+H96+H117+H145+H166+H194)</f>
        <v>7097.5</v>
      </c>
      <c r="J11" s="18"/>
      <c r="K11" s="15"/>
      <c r="L11" s="16"/>
      <c r="M11" s="15"/>
    </row>
    <row r="12" spans="1:14" ht="16.5" thickBot="1" x14ac:dyDescent="0.3">
      <c r="A12" s="72"/>
      <c r="B12" s="87"/>
      <c r="C12" s="9">
        <v>2021</v>
      </c>
      <c r="D12" s="48">
        <f>SUM(E12:H12)</f>
        <v>2791080.8</v>
      </c>
      <c r="E12" s="49">
        <f>SUM(E19+E40+E69+E97+E118+E146+E167+E195)</f>
        <v>662098.19999999995</v>
      </c>
      <c r="F12" s="50">
        <f>SUM(F19+F40+F69+F97+F118+F146+F167+F195)</f>
        <v>2012452.8</v>
      </c>
      <c r="G12" s="50">
        <f t="shared" si="1"/>
        <v>16316.9</v>
      </c>
      <c r="H12" s="50">
        <f>SUM(H19+H40+H69+H97+H118+H146+H167+H195)</f>
        <v>100212.9</v>
      </c>
      <c r="J12" s="18">
        <f>2698707.3-E12</f>
        <v>2036609.0999999999</v>
      </c>
      <c r="K12" s="19">
        <f>F12-1947425.6</f>
        <v>65027.199999999953</v>
      </c>
      <c r="L12" s="20">
        <f>G12-3368.4</f>
        <v>12948.5</v>
      </c>
      <c r="M12" s="19">
        <f>2927484.3-D12</f>
        <v>136403.5</v>
      </c>
      <c r="N12" s="17"/>
    </row>
    <row r="13" spans="1:14" ht="16.5" thickBot="1" x14ac:dyDescent="0.3">
      <c r="A13" s="72"/>
      <c r="B13" s="87"/>
      <c r="C13" s="9">
        <v>2022</v>
      </c>
      <c r="D13" s="12">
        <f t="shared" si="0"/>
        <v>3864168.3</v>
      </c>
      <c r="E13" s="13">
        <f>SUM(E20+E41+E70+E98+E119+E147+E168+E196)</f>
        <v>586880.6</v>
      </c>
      <c r="F13" s="14">
        <f t="shared" si="1"/>
        <v>1940245.7999999998</v>
      </c>
      <c r="G13" s="14">
        <f t="shared" si="1"/>
        <v>13507.400000000001</v>
      </c>
      <c r="H13" s="14">
        <f>SUM(H20+H41+H70+H98+H119+H147+H168+H196)</f>
        <v>1323534.5</v>
      </c>
      <c r="J13" s="18">
        <f>2527182.9-E13</f>
        <v>1940302.2999999998</v>
      </c>
      <c r="K13" s="15"/>
      <c r="L13" s="16"/>
      <c r="M13" s="19">
        <f>2066598.4-F12</f>
        <v>54145.59999999986</v>
      </c>
    </row>
    <row r="14" spans="1:14" ht="16.5" thickBot="1" x14ac:dyDescent="0.3">
      <c r="A14" s="72"/>
      <c r="B14" s="87"/>
      <c r="C14" s="9">
        <v>2023</v>
      </c>
      <c r="D14" s="12">
        <f>SUM(E14:H14)</f>
        <v>5871974.2000000002</v>
      </c>
      <c r="E14" s="13">
        <f>SUM(E21+E42+E71+E99+E120+E148+E169+E197)</f>
        <v>637524.70000000007</v>
      </c>
      <c r="F14" s="14">
        <f t="shared" si="1"/>
        <v>1975332.5000000002</v>
      </c>
      <c r="G14" s="14">
        <f t="shared" si="1"/>
        <v>13505</v>
      </c>
      <c r="H14" s="14">
        <f>SUM(H21+H42+H71+H99+H120+H148+H169+H197)</f>
        <v>3245612</v>
      </c>
      <c r="J14" s="18">
        <f>2612913.7-E14</f>
        <v>1975389</v>
      </c>
      <c r="K14" s="15"/>
      <c r="L14" s="15"/>
      <c r="M14" s="19">
        <f>652108.9-E12</f>
        <v>-9989.2999999999302</v>
      </c>
    </row>
    <row r="15" spans="1:14" ht="16.5" thickBot="1" x14ac:dyDescent="0.3">
      <c r="A15" s="101"/>
      <c r="B15" s="88"/>
      <c r="C15" s="9">
        <v>2024</v>
      </c>
      <c r="D15" s="12">
        <f t="shared" si="0"/>
        <v>4918249.7719999999</v>
      </c>
      <c r="E15" s="13"/>
      <c r="F15" s="14">
        <f t="shared" si="1"/>
        <v>2054404.6600000001</v>
      </c>
      <c r="G15" s="14">
        <f t="shared" si="1"/>
        <v>13845.111999999999</v>
      </c>
      <c r="H15" s="14">
        <f>SUM(H22+H43+H72+H100+H121+H149+H170+H198)</f>
        <v>2850000</v>
      </c>
      <c r="K15" s="15"/>
      <c r="L15" s="15"/>
      <c r="M15" s="19">
        <f>17241.5-G12</f>
        <v>924.60000000000036</v>
      </c>
    </row>
    <row r="16" spans="1:14" ht="16.5" thickBot="1" x14ac:dyDescent="0.3">
      <c r="A16" s="84" t="s">
        <v>16</v>
      </c>
      <c r="B16" s="85"/>
      <c r="C16" s="9"/>
      <c r="D16" s="14">
        <f>SUM(D10:D15)</f>
        <v>22631625.963039998</v>
      </c>
      <c r="E16" s="14">
        <f>SUM(E10:E15)</f>
        <v>3314149.3000000003</v>
      </c>
      <c r="F16" s="14">
        <f>SUM(F10:F15)</f>
        <v>11551134.75104</v>
      </c>
      <c r="G16" s="14">
        <f>SUM(G10:G15)</f>
        <v>79891.212</v>
      </c>
      <c r="H16" s="14">
        <f>SUM(H10:H15)</f>
        <v>7686450.7000000002</v>
      </c>
      <c r="I16" s="18"/>
      <c r="M16" s="18">
        <f>191535.5-H12</f>
        <v>91322.6</v>
      </c>
    </row>
    <row r="17" spans="1:14" ht="16.5" thickBot="1" x14ac:dyDescent="0.3">
      <c r="A17" s="86" t="s">
        <v>17</v>
      </c>
      <c r="B17" s="86" t="s">
        <v>18</v>
      </c>
      <c r="C17" s="9">
        <v>2019</v>
      </c>
      <c r="D17" s="12">
        <f>F17</f>
        <v>42240.800000000003</v>
      </c>
      <c r="E17" s="13"/>
      <c r="F17" s="14">
        <f>F24+F31</f>
        <v>42240.800000000003</v>
      </c>
      <c r="G17" s="14"/>
      <c r="H17" s="14"/>
      <c r="I17" s="18"/>
    </row>
    <row r="18" spans="1:14" ht="16.5" thickBot="1" x14ac:dyDescent="0.3">
      <c r="A18" s="87"/>
      <c r="B18" s="87"/>
      <c r="C18" s="9">
        <v>2020</v>
      </c>
      <c r="D18" s="12">
        <f>SUM(F18:G18)</f>
        <v>45615.500000000007</v>
      </c>
      <c r="E18" s="13"/>
      <c r="F18" s="14">
        <f>F25+F32-0.1</f>
        <v>45481.500000000007</v>
      </c>
      <c r="G18" s="14">
        <f t="shared" ref="G18:G22" si="2">G32</f>
        <v>134</v>
      </c>
      <c r="H18" s="14"/>
      <c r="I18" s="18"/>
    </row>
    <row r="19" spans="1:14" ht="16.5" thickBot="1" x14ac:dyDescent="0.3">
      <c r="A19" s="87"/>
      <c r="B19" s="87"/>
      <c r="C19" s="9">
        <v>2021</v>
      </c>
      <c r="D19" s="48">
        <f>SUM(F19:G19)</f>
        <v>43689.5</v>
      </c>
      <c r="E19" s="49"/>
      <c r="F19" s="50">
        <f t="shared" ref="F19:F21" si="3">F26+F33</f>
        <v>43538.5</v>
      </c>
      <c r="G19" s="50">
        <f t="shared" si="2"/>
        <v>151</v>
      </c>
      <c r="H19" s="50"/>
      <c r="M19" s="4">
        <f>48178.1-43689.5</f>
        <v>4488.5999999999985</v>
      </c>
    </row>
    <row r="20" spans="1:14" ht="16.5" thickBot="1" x14ac:dyDescent="0.3">
      <c r="A20" s="87"/>
      <c r="B20" s="87"/>
      <c r="C20" s="9">
        <v>2022</v>
      </c>
      <c r="D20" s="48">
        <f t="shared" ref="D20:D22" si="4">SUM(F20:G20)</f>
        <v>51844.899999999994</v>
      </c>
      <c r="E20" s="49"/>
      <c r="F20" s="50">
        <f t="shared" si="3"/>
        <v>51703.7</v>
      </c>
      <c r="G20" s="50">
        <f t="shared" si="2"/>
        <v>141.19999999999999</v>
      </c>
      <c r="H20" s="50"/>
    </row>
    <row r="21" spans="1:14" ht="16.5" thickBot="1" x14ac:dyDescent="0.3">
      <c r="A21" s="87"/>
      <c r="B21" s="87"/>
      <c r="C21" s="9">
        <v>2023</v>
      </c>
      <c r="D21" s="48">
        <f t="shared" si="4"/>
        <v>53863.3</v>
      </c>
      <c r="E21" s="49"/>
      <c r="F21" s="50">
        <f t="shared" si="3"/>
        <v>53725.5</v>
      </c>
      <c r="G21" s="50">
        <f t="shared" si="2"/>
        <v>137.80000000000001</v>
      </c>
      <c r="H21" s="50"/>
    </row>
    <row r="22" spans="1:14" ht="16.5" thickBot="1" x14ac:dyDescent="0.3">
      <c r="A22" s="88"/>
      <c r="B22" s="88"/>
      <c r="C22" s="9">
        <v>2024</v>
      </c>
      <c r="D22" s="48">
        <f t="shared" si="4"/>
        <v>56017.932000000001</v>
      </c>
      <c r="E22" s="49"/>
      <c r="F22" s="50">
        <f>F29+F36+0.1</f>
        <v>55874.62</v>
      </c>
      <c r="G22" s="51">
        <f t="shared" si="2"/>
        <v>143.31200000000001</v>
      </c>
      <c r="H22" s="50"/>
    </row>
    <row r="23" spans="1:14" ht="16.5" thickBot="1" x14ac:dyDescent="0.3">
      <c r="A23" s="84" t="s">
        <v>16</v>
      </c>
      <c r="B23" s="85"/>
      <c r="C23" s="9"/>
      <c r="D23" s="48">
        <f>SUM(D17:D22)</f>
        <v>293271.93200000003</v>
      </c>
      <c r="E23" s="45"/>
      <c r="F23" s="48">
        <f>SUM(F17:F22)</f>
        <v>292564.62</v>
      </c>
      <c r="G23" s="45">
        <f>SUM(G17:G22)</f>
        <v>707.31200000000001</v>
      </c>
      <c r="H23" s="50"/>
      <c r="I23" s="18">
        <f>D23-308207.7</f>
        <v>-14935.767999999982</v>
      </c>
    </row>
    <row r="24" spans="1:14" ht="16.5" thickBot="1" x14ac:dyDescent="0.3">
      <c r="A24" s="86" t="s">
        <v>19</v>
      </c>
      <c r="B24" s="86" t="s">
        <v>18</v>
      </c>
      <c r="C24" s="9">
        <v>2019</v>
      </c>
      <c r="D24" s="48">
        <v>37442</v>
      </c>
      <c r="E24" s="49"/>
      <c r="F24" s="50">
        <v>37442</v>
      </c>
      <c r="G24" s="50"/>
      <c r="H24" s="50"/>
    </row>
    <row r="25" spans="1:14" ht="16.5" thickBot="1" x14ac:dyDescent="0.3">
      <c r="A25" s="87"/>
      <c r="B25" s="87"/>
      <c r="C25" s="9">
        <v>2020</v>
      </c>
      <c r="D25" s="48">
        <f>SUM(E25:H25)</f>
        <v>38687.800000000003</v>
      </c>
      <c r="E25" s="49"/>
      <c r="F25" s="50">
        <f>38815.3-127.5</f>
        <v>38687.800000000003</v>
      </c>
      <c r="G25" s="50"/>
      <c r="H25" s="50"/>
      <c r="J25" s="18"/>
    </row>
    <row r="26" spans="1:14" ht="16.5" thickBot="1" x14ac:dyDescent="0.3">
      <c r="A26" s="87"/>
      <c r="B26" s="87"/>
      <c r="C26" s="9">
        <v>2021</v>
      </c>
      <c r="D26" s="48">
        <f t="shared" ref="D26:D29" si="5">SUM(E26:H26)</f>
        <v>35338.6</v>
      </c>
      <c r="E26" s="49"/>
      <c r="F26" s="45">
        <f>38939.2-70-360-350-334.5-2486.1</f>
        <v>35338.6</v>
      </c>
      <c r="G26" s="50"/>
      <c r="H26" s="50"/>
      <c r="M26" s="18">
        <f>38939.2-F26</f>
        <v>3600.5999999999985</v>
      </c>
      <c r="N26" s="4" t="s">
        <v>65</v>
      </c>
    </row>
    <row r="27" spans="1:14" ht="16.5" thickBot="1" x14ac:dyDescent="0.3">
      <c r="A27" s="87"/>
      <c r="B27" s="87"/>
      <c r="C27" s="9">
        <v>2022</v>
      </c>
      <c r="D27" s="48">
        <f t="shared" si="5"/>
        <v>41982.5</v>
      </c>
      <c r="E27" s="49"/>
      <c r="F27" s="50">
        <v>41982.5</v>
      </c>
      <c r="G27" s="50"/>
      <c r="H27" s="50"/>
    </row>
    <row r="28" spans="1:14" ht="16.5" thickBot="1" x14ac:dyDescent="0.3">
      <c r="A28" s="87"/>
      <c r="B28" s="87"/>
      <c r="C28" s="9">
        <v>2023</v>
      </c>
      <c r="D28" s="48">
        <f t="shared" si="5"/>
        <v>43661.8</v>
      </c>
      <c r="E28" s="49"/>
      <c r="F28" s="50">
        <v>43661.8</v>
      </c>
      <c r="G28" s="50"/>
      <c r="H28" s="50"/>
    </row>
    <row r="29" spans="1:14" ht="16.5" thickBot="1" x14ac:dyDescent="0.3">
      <c r="A29" s="88"/>
      <c r="B29" s="88"/>
      <c r="C29" s="9">
        <v>2024</v>
      </c>
      <c r="D29" s="48">
        <f t="shared" si="5"/>
        <v>45408.272000000004</v>
      </c>
      <c r="E29" s="49"/>
      <c r="F29" s="50">
        <f>F28*1.04</f>
        <v>45408.272000000004</v>
      </c>
      <c r="G29" s="50"/>
      <c r="H29" s="50"/>
    </row>
    <row r="30" spans="1:14" ht="16.5" thickBot="1" x14ac:dyDescent="0.3">
      <c r="A30" s="84" t="s">
        <v>16</v>
      </c>
      <c r="B30" s="85"/>
      <c r="C30" s="9"/>
      <c r="D30" s="52">
        <f>SUM(D24:D29)</f>
        <v>242520.97200000001</v>
      </c>
      <c r="E30" s="45"/>
      <c r="F30" s="53">
        <f t="shared" ref="F30" si="6">SUM(F24:F29)</f>
        <v>242520.97200000001</v>
      </c>
      <c r="G30" s="50"/>
      <c r="H30" s="50"/>
    </row>
    <row r="31" spans="1:14" ht="16.5" thickBot="1" x14ac:dyDescent="0.3">
      <c r="A31" s="86" t="s">
        <v>20</v>
      </c>
      <c r="B31" s="86" t="s">
        <v>18</v>
      </c>
      <c r="C31" s="9">
        <v>2019</v>
      </c>
      <c r="D31" s="48">
        <v>4798.8</v>
      </c>
      <c r="E31" s="49"/>
      <c r="F31" s="50">
        <f>4798.8</f>
        <v>4798.8</v>
      </c>
      <c r="G31" s="50"/>
      <c r="H31" s="50"/>
    </row>
    <row r="32" spans="1:14" ht="16.5" thickBot="1" x14ac:dyDescent="0.3">
      <c r="A32" s="87"/>
      <c r="B32" s="87"/>
      <c r="C32" s="9">
        <v>2020</v>
      </c>
      <c r="D32" s="48">
        <f>SUM(E32:H32)</f>
        <v>6927.7999999999993</v>
      </c>
      <c r="E32" s="49"/>
      <c r="F32" s="50">
        <f>9060.4-997-716-500-53.6</f>
        <v>6793.7999999999993</v>
      </c>
      <c r="G32" s="50">
        <v>134</v>
      </c>
      <c r="H32" s="50"/>
    </row>
    <row r="33" spans="1:14" ht="16.5" thickBot="1" x14ac:dyDescent="0.3">
      <c r="A33" s="87"/>
      <c r="B33" s="87"/>
      <c r="C33" s="9">
        <v>2021</v>
      </c>
      <c r="D33" s="48">
        <f t="shared" ref="D33:D36" si="7">SUM(E33:H33)</f>
        <v>8350.9</v>
      </c>
      <c r="E33" s="49"/>
      <c r="F33" s="50">
        <f>9087.9-12-876</f>
        <v>8199.9</v>
      </c>
      <c r="G33" s="50">
        <v>151</v>
      </c>
      <c r="H33" s="50"/>
      <c r="M33" s="18">
        <f>9238.9-D33</f>
        <v>888</v>
      </c>
      <c r="N33" s="4" t="s">
        <v>65</v>
      </c>
    </row>
    <row r="34" spans="1:14" ht="16.5" thickBot="1" x14ac:dyDescent="0.3">
      <c r="A34" s="87"/>
      <c r="B34" s="87"/>
      <c r="C34" s="9">
        <v>2022</v>
      </c>
      <c r="D34" s="48">
        <f t="shared" si="7"/>
        <v>9862.4000000000015</v>
      </c>
      <c r="E34" s="49"/>
      <c r="F34" s="50">
        <v>9721.2000000000007</v>
      </c>
      <c r="G34" s="50">
        <v>141.19999999999999</v>
      </c>
      <c r="H34" s="50"/>
    </row>
    <row r="35" spans="1:14" ht="16.5" thickBot="1" x14ac:dyDescent="0.3">
      <c r="A35" s="87"/>
      <c r="B35" s="87"/>
      <c r="C35" s="9">
        <v>2023</v>
      </c>
      <c r="D35" s="48">
        <f t="shared" si="7"/>
        <v>10201.5</v>
      </c>
      <c r="E35" s="49"/>
      <c r="F35" s="50">
        <v>10063.700000000001</v>
      </c>
      <c r="G35" s="50">
        <v>137.80000000000001</v>
      </c>
      <c r="H35" s="50"/>
    </row>
    <row r="36" spans="1:14" ht="16.5" thickBot="1" x14ac:dyDescent="0.3">
      <c r="A36" s="88"/>
      <c r="B36" s="88"/>
      <c r="C36" s="9">
        <v>2024</v>
      </c>
      <c r="D36" s="48">
        <f t="shared" si="7"/>
        <v>10609.560000000001</v>
      </c>
      <c r="E36" s="49"/>
      <c r="F36" s="50">
        <f>F35*1.04</f>
        <v>10466.248000000001</v>
      </c>
      <c r="G36" s="50">
        <f>G35*1.04</f>
        <v>143.31200000000001</v>
      </c>
      <c r="H36" s="50"/>
    </row>
    <row r="37" spans="1:14" ht="16.5" thickBot="1" x14ac:dyDescent="0.3">
      <c r="A37" s="84" t="s">
        <v>16</v>
      </c>
      <c r="B37" s="85"/>
      <c r="C37" s="9"/>
      <c r="D37" s="48">
        <f>SUM(D31:D36)</f>
        <v>50750.960000000006</v>
      </c>
      <c r="E37" s="45"/>
      <c r="F37" s="45">
        <f>SUM(F31:F36)</f>
        <v>50043.648000000001</v>
      </c>
      <c r="G37" s="45">
        <f t="shared" ref="G37" si="8">SUM(G31:G36)</f>
        <v>707.31200000000001</v>
      </c>
      <c r="H37" s="50"/>
    </row>
    <row r="38" spans="1:14" ht="16.5" thickBot="1" x14ac:dyDescent="0.3">
      <c r="A38" s="71" t="s">
        <v>21</v>
      </c>
      <c r="B38" s="86" t="s">
        <v>18</v>
      </c>
      <c r="C38" s="9">
        <v>2019</v>
      </c>
      <c r="D38" s="48">
        <f>D49+D56+D62</f>
        <v>47821.3</v>
      </c>
      <c r="E38" s="49">
        <f>E49+E56+E62</f>
        <v>21351.9</v>
      </c>
      <c r="F38" s="50">
        <v>26469.4</v>
      </c>
      <c r="G38" s="50"/>
      <c r="H38" s="50"/>
    </row>
    <row r="39" spans="1:14" ht="16.5" thickBot="1" x14ac:dyDescent="0.3">
      <c r="A39" s="72"/>
      <c r="B39" s="87"/>
      <c r="C39" s="9">
        <v>2020</v>
      </c>
      <c r="D39" s="48">
        <f>SUM(E39:F39)</f>
        <v>52462.5</v>
      </c>
      <c r="E39" s="49">
        <f>SUM(E46+E50+E57+E63)</f>
        <v>31665.199999999997</v>
      </c>
      <c r="F39" s="50">
        <f>SUM(F46+F50+F57+F62)</f>
        <v>20797.3</v>
      </c>
      <c r="G39" s="50"/>
      <c r="H39" s="50"/>
    </row>
    <row r="40" spans="1:14" ht="16.5" thickBot="1" x14ac:dyDescent="0.3">
      <c r="A40" s="72"/>
      <c r="B40" s="87"/>
      <c r="C40" s="9">
        <v>2021</v>
      </c>
      <c r="D40" s="48">
        <f>SUM(E40:F40)</f>
        <v>116616</v>
      </c>
      <c r="E40" s="49">
        <f>SUM(E47+E51+E58+E64)</f>
        <v>86172.1</v>
      </c>
      <c r="F40" s="50">
        <f>SUM(F47+F51+F58+F64)</f>
        <v>30443.9</v>
      </c>
      <c r="G40" s="50"/>
      <c r="H40" s="50"/>
      <c r="M40" s="18">
        <f>26313.3-F40</f>
        <v>-4130.6000000000022</v>
      </c>
      <c r="N40" s="4" t="s">
        <v>65</v>
      </c>
    </row>
    <row r="41" spans="1:14" ht="16.5" thickBot="1" x14ac:dyDescent="0.3">
      <c r="A41" s="72"/>
      <c r="B41" s="87"/>
      <c r="C41" s="9">
        <v>2022</v>
      </c>
      <c r="D41" s="48">
        <f>SUM(E41:H41)</f>
        <v>135829.9</v>
      </c>
      <c r="E41" s="49">
        <f>SUM(E48+E52+E59+E65)</f>
        <v>108464.1</v>
      </c>
      <c r="F41" s="50">
        <f>SUM(F52)</f>
        <v>27365.8</v>
      </c>
      <c r="G41" s="50"/>
      <c r="H41" s="50"/>
    </row>
    <row r="42" spans="1:14" ht="16.5" thickBot="1" x14ac:dyDescent="0.3">
      <c r="A42" s="72"/>
      <c r="B42" s="87"/>
      <c r="C42" s="9">
        <v>2023</v>
      </c>
      <c r="D42" s="48">
        <f t="shared" ref="D42:D43" si="9">SUM(E42:H42)</f>
        <v>45526.8</v>
      </c>
      <c r="E42" s="49">
        <f>SUM(E53+E60)</f>
        <v>18161</v>
      </c>
      <c r="F42" s="50">
        <f>F53</f>
        <v>27365.8</v>
      </c>
      <c r="G42" s="50"/>
      <c r="H42" s="50"/>
    </row>
    <row r="43" spans="1:14" ht="16.5" thickBot="1" x14ac:dyDescent="0.3">
      <c r="A43" s="101"/>
      <c r="B43" s="88"/>
      <c r="C43" s="9">
        <v>2024</v>
      </c>
      <c r="D43" s="48">
        <f t="shared" si="9"/>
        <v>28460.432000000001</v>
      </c>
      <c r="E43" s="49"/>
      <c r="F43" s="50">
        <f>F54</f>
        <v>28460.432000000001</v>
      </c>
      <c r="G43" s="50"/>
      <c r="H43" s="50"/>
    </row>
    <row r="44" spans="1:14" ht="16.5" thickBot="1" x14ac:dyDescent="0.3">
      <c r="A44" s="84" t="s">
        <v>16</v>
      </c>
      <c r="B44" s="85"/>
      <c r="C44" s="9"/>
      <c r="D44" s="45">
        <f>SUM(D38:D43)</f>
        <v>426716.93199999991</v>
      </c>
      <c r="E44" s="45">
        <f>SUM(E38:E43)</f>
        <v>265814.30000000005</v>
      </c>
      <c r="F44" s="53">
        <f t="shared" ref="F44" si="10">SUM(F38:F43)</f>
        <v>160902.63200000001</v>
      </c>
      <c r="G44" s="50"/>
      <c r="H44" s="50"/>
      <c r="I44" s="18">
        <f>D44-430164.5</f>
        <v>-3447.5680000000866</v>
      </c>
    </row>
    <row r="45" spans="1:14" ht="16.5" hidden="1" thickBot="1" x14ac:dyDescent="0.3">
      <c r="A45" s="102" t="s">
        <v>22</v>
      </c>
      <c r="B45" s="102" t="s">
        <v>18</v>
      </c>
      <c r="C45" s="9">
        <v>2019</v>
      </c>
      <c r="D45" s="48">
        <v>0</v>
      </c>
      <c r="E45" s="49"/>
      <c r="F45" s="50">
        <v>0</v>
      </c>
      <c r="G45" s="50"/>
      <c r="H45" s="50"/>
    </row>
    <row r="46" spans="1:14" ht="16.5" hidden="1" thickBot="1" x14ac:dyDescent="0.3">
      <c r="A46" s="103"/>
      <c r="B46" s="103"/>
      <c r="C46" s="9">
        <v>2020</v>
      </c>
      <c r="D46" s="48">
        <v>0</v>
      </c>
      <c r="E46" s="49"/>
      <c r="F46" s="50">
        <v>0</v>
      </c>
      <c r="G46" s="50"/>
      <c r="H46" s="50"/>
    </row>
    <row r="47" spans="1:14" ht="16.5" hidden="1" thickBot="1" x14ac:dyDescent="0.3">
      <c r="A47" s="104"/>
      <c r="B47" s="104"/>
      <c r="C47" s="9">
        <v>2021</v>
      </c>
      <c r="D47" s="48">
        <v>0</v>
      </c>
      <c r="E47" s="49"/>
      <c r="F47" s="50">
        <v>0</v>
      </c>
      <c r="G47" s="50"/>
      <c r="H47" s="50"/>
    </row>
    <row r="48" spans="1:14" ht="16.5" hidden="1" thickBot="1" x14ac:dyDescent="0.3">
      <c r="A48" s="84" t="s">
        <v>16</v>
      </c>
      <c r="B48" s="85"/>
      <c r="C48" s="9"/>
      <c r="D48" s="48">
        <v>0</v>
      </c>
      <c r="E48" s="54"/>
      <c r="F48" s="49">
        <v>0</v>
      </c>
      <c r="G48" s="50"/>
      <c r="H48" s="50"/>
    </row>
    <row r="49" spans="1:14" ht="16.5" thickBot="1" x14ac:dyDescent="0.3">
      <c r="A49" s="86" t="s">
        <v>23</v>
      </c>
      <c r="B49" s="86" t="s">
        <v>18</v>
      </c>
      <c r="C49" s="9">
        <v>2019</v>
      </c>
      <c r="D49" s="48">
        <v>26469.4</v>
      </c>
      <c r="E49" s="49"/>
      <c r="F49" s="50">
        <v>26469.4</v>
      </c>
      <c r="G49" s="50"/>
      <c r="H49" s="50"/>
    </row>
    <row r="50" spans="1:14" ht="16.5" thickBot="1" x14ac:dyDescent="0.3">
      <c r="A50" s="87"/>
      <c r="B50" s="87"/>
      <c r="C50" s="9">
        <v>2020</v>
      </c>
      <c r="D50" s="48">
        <f>SUM(E50:H50)</f>
        <v>20797.3</v>
      </c>
      <c r="E50" s="49"/>
      <c r="F50" s="50">
        <f>26313.3-5516</f>
        <v>20797.3</v>
      </c>
      <c r="G50" s="50"/>
      <c r="H50" s="50"/>
      <c r="J50" s="18"/>
    </row>
    <row r="51" spans="1:14" ht="16.5" thickBot="1" x14ac:dyDescent="0.3">
      <c r="A51" s="87"/>
      <c r="B51" s="87"/>
      <c r="C51" s="9">
        <v>2021</v>
      </c>
      <c r="D51" s="48">
        <f t="shared" ref="D51:D54" si="11">SUM(E51:H51)</f>
        <v>30443.9</v>
      </c>
      <c r="E51" s="49"/>
      <c r="F51" s="50">
        <f>26313.3+8700-2900-119.5-5680.5+2000-1000-1000+4130.6</f>
        <v>30443.9</v>
      </c>
      <c r="G51" s="50"/>
      <c r="H51" s="50"/>
      <c r="M51" s="18">
        <f>26313.3-F51</f>
        <v>-4130.6000000000022</v>
      </c>
      <c r="N51" s="4" t="s">
        <v>65</v>
      </c>
    </row>
    <row r="52" spans="1:14" ht="16.5" thickBot="1" x14ac:dyDescent="0.3">
      <c r="A52" s="87"/>
      <c r="B52" s="87"/>
      <c r="C52" s="9">
        <v>2022</v>
      </c>
      <c r="D52" s="48">
        <f t="shared" si="11"/>
        <v>27365.8</v>
      </c>
      <c r="E52" s="49"/>
      <c r="F52" s="50">
        <v>27365.8</v>
      </c>
      <c r="G52" s="50"/>
      <c r="H52" s="50"/>
    </row>
    <row r="53" spans="1:14" ht="16.5" thickBot="1" x14ac:dyDescent="0.3">
      <c r="A53" s="87"/>
      <c r="B53" s="87"/>
      <c r="C53" s="9">
        <v>2023</v>
      </c>
      <c r="D53" s="48">
        <f t="shared" si="11"/>
        <v>27365.8</v>
      </c>
      <c r="E53" s="49"/>
      <c r="F53" s="50">
        <v>27365.8</v>
      </c>
      <c r="G53" s="50"/>
      <c r="H53" s="50"/>
    </row>
    <row r="54" spans="1:14" ht="16.5" thickBot="1" x14ac:dyDescent="0.3">
      <c r="A54" s="88"/>
      <c r="B54" s="88"/>
      <c r="C54" s="9">
        <v>2024</v>
      </c>
      <c r="D54" s="48">
        <f t="shared" si="11"/>
        <v>28460.432000000001</v>
      </c>
      <c r="E54" s="49"/>
      <c r="F54" s="50">
        <f>F53*1.04</f>
        <v>28460.432000000001</v>
      </c>
      <c r="G54" s="50"/>
      <c r="H54" s="50"/>
    </row>
    <row r="55" spans="1:14" ht="16.5" thickBot="1" x14ac:dyDescent="0.3">
      <c r="A55" s="84" t="s">
        <v>16</v>
      </c>
      <c r="B55" s="85"/>
      <c r="C55" s="9"/>
      <c r="D55" s="48">
        <f>SUM(E55:H55)</f>
        <v>160902.63200000001</v>
      </c>
      <c r="E55" s="45"/>
      <c r="F55" s="45">
        <f>SUM(F49:F54)</f>
        <v>160902.63200000001</v>
      </c>
      <c r="G55" s="50"/>
      <c r="H55" s="50"/>
    </row>
    <row r="56" spans="1:14" ht="21" customHeight="1" thickBot="1" x14ac:dyDescent="0.3">
      <c r="A56" s="90" t="s">
        <v>24</v>
      </c>
      <c r="B56" s="90" t="s">
        <v>18</v>
      </c>
      <c r="C56" s="9">
        <v>2019</v>
      </c>
      <c r="D56" s="48">
        <f>E56</f>
        <v>17155.7</v>
      </c>
      <c r="E56" s="49">
        <v>17155.7</v>
      </c>
      <c r="F56" s="50"/>
      <c r="G56" s="50"/>
      <c r="H56" s="50"/>
    </row>
    <row r="57" spans="1:14" ht="21" customHeight="1" thickBot="1" x14ac:dyDescent="0.3">
      <c r="A57" s="91"/>
      <c r="B57" s="91"/>
      <c r="C57" s="9">
        <v>2020</v>
      </c>
      <c r="D57" s="48">
        <f t="shared" ref="D57:D60" si="12">E57</f>
        <v>13635.399999999998</v>
      </c>
      <c r="E57" s="49">
        <f>17107.1-3471.7</f>
        <v>13635.399999999998</v>
      </c>
      <c r="F57" s="50"/>
      <c r="G57" s="50"/>
      <c r="H57" s="50"/>
    </row>
    <row r="58" spans="1:14" ht="21" customHeight="1" thickBot="1" x14ac:dyDescent="0.3">
      <c r="A58" s="91"/>
      <c r="B58" s="91"/>
      <c r="C58" s="9">
        <v>2021</v>
      </c>
      <c r="D58" s="48">
        <f t="shared" si="12"/>
        <v>16102.1</v>
      </c>
      <c r="E58" s="49">
        <v>16102.1</v>
      </c>
      <c r="F58" s="50"/>
      <c r="G58" s="50"/>
      <c r="H58" s="50"/>
    </row>
    <row r="59" spans="1:14" ht="21" customHeight="1" thickBot="1" x14ac:dyDescent="0.3">
      <c r="A59" s="91"/>
      <c r="B59" s="91"/>
      <c r="C59" s="9">
        <v>2022</v>
      </c>
      <c r="D59" s="48">
        <f t="shared" si="12"/>
        <v>16107.6</v>
      </c>
      <c r="E59" s="49">
        <v>16107.6</v>
      </c>
      <c r="F59" s="50"/>
      <c r="G59" s="50"/>
      <c r="H59" s="50"/>
    </row>
    <row r="60" spans="1:14" ht="21" customHeight="1" thickBot="1" x14ac:dyDescent="0.3">
      <c r="A60" s="93"/>
      <c r="B60" s="93"/>
      <c r="C60" s="9">
        <v>2023</v>
      </c>
      <c r="D60" s="48">
        <f t="shared" si="12"/>
        <v>18161</v>
      </c>
      <c r="E60" s="49">
        <v>18161</v>
      </c>
      <c r="F60" s="50"/>
      <c r="G60" s="50"/>
      <c r="H60" s="50"/>
    </row>
    <row r="61" spans="1:14" ht="16.5" thickBot="1" x14ac:dyDescent="0.3">
      <c r="A61" s="99" t="s">
        <v>16</v>
      </c>
      <c r="B61" s="89"/>
      <c r="C61" s="9"/>
      <c r="D61" s="48">
        <f>E61</f>
        <v>81161.799999999988</v>
      </c>
      <c r="E61" s="49">
        <f>SUM(E56:E60)</f>
        <v>81161.799999999988</v>
      </c>
      <c r="F61" s="50"/>
      <c r="G61" s="50"/>
      <c r="H61" s="50"/>
    </row>
    <row r="62" spans="1:14" ht="16.7" customHeight="1" thickBot="1" x14ac:dyDescent="0.3">
      <c r="A62" s="90" t="s">
        <v>25</v>
      </c>
      <c r="B62" s="86" t="s">
        <v>18</v>
      </c>
      <c r="C62" s="9">
        <v>2019</v>
      </c>
      <c r="D62" s="48">
        <f>E62</f>
        <v>4196.2</v>
      </c>
      <c r="E62" s="49">
        <f>4200-3.8</f>
        <v>4196.2</v>
      </c>
      <c r="F62" s="50"/>
      <c r="G62" s="50"/>
      <c r="H62" s="50"/>
    </row>
    <row r="63" spans="1:14" ht="16.7" customHeight="1" thickBot="1" x14ac:dyDescent="0.3">
      <c r="A63" s="91"/>
      <c r="B63" s="87"/>
      <c r="C63" s="9">
        <v>2020</v>
      </c>
      <c r="D63" s="48">
        <f t="shared" ref="D63:D65" si="13">E63</f>
        <v>18029.8</v>
      </c>
      <c r="E63" s="49">
        <f>23330-5300.2</f>
        <v>18029.8</v>
      </c>
      <c r="F63" s="50"/>
      <c r="G63" s="50"/>
      <c r="H63" s="50"/>
    </row>
    <row r="64" spans="1:14" ht="16.7" customHeight="1" thickBot="1" x14ac:dyDescent="0.3">
      <c r="A64" s="91"/>
      <c r="B64" s="87"/>
      <c r="C64" s="9">
        <v>2021</v>
      </c>
      <c r="D64" s="48">
        <f t="shared" si="13"/>
        <v>70070</v>
      </c>
      <c r="E64" s="55">
        <v>70070</v>
      </c>
      <c r="F64" s="50"/>
      <c r="G64" s="50"/>
      <c r="H64" s="50"/>
    </row>
    <row r="65" spans="1:16" ht="16.7" customHeight="1" thickBot="1" x14ac:dyDescent="0.3">
      <c r="A65" s="93"/>
      <c r="B65" s="100"/>
      <c r="C65" s="9">
        <v>2022</v>
      </c>
      <c r="D65" s="48">
        <f t="shared" si="13"/>
        <v>92356.5</v>
      </c>
      <c r="E65" s="45">
        <v>92356.5</v>
      </c>
      <c r="F65" s="50"/>
      <c r="G65" s="50"/>
      <c r="H65" s="50"/>
    </row>
    <row r="66" spans="1:16" ht="16.5" thickBot="1" x14ac:dyDescent="0.3">
      <c r="A66" s="99" t="s">
        <v>16</v>
      </c>
      <c r="B66" s="89"/>
      <c r="C66" s="9"/>
      <c r="D66" s="48">
        <f>E66</f>
        <v>184652.5</v>
      </c>
      <c r="E66" s="54">
        <f>SUM(E62:E65)</f>
        <v>184652.5</v>
      </c>
      <c r="F66" s="49"/>
      <c r="G66" s="50"/>
      <c r="H66" s="50"/>
    </row>
    <row r="67" spans="1:16" ht="16.5" thickBot="1" x14ac:dyDescent="0.3">
      <c r="A67" s="86" t="s">
        <v>26</v>
      </c>
      <c r="B67" s="86" t="s">
        <v>18</v>
      </c>
      <c r="C67" s="9">
        <v>2019</v>
      </c>
      <c r="D67" s="48">
        <v>64244.800000000003</v>
      </c>
      <c r="E67" s="49"/>
      <c r="F67" s="50">
        <v>64244.800000000003</v>
      </c>
      <c r="G67" s="50"/>
      <c r="H67" s="50"/>
    </row>
    <row r="68" spans="1:16" ht="16.5" thickBot="1" x14ac:dyDescent="0.3">
      <c r="A68" s="87"/>
      <c r="B68" s="87"/>
      <c r="C68" s="9">
        <v>2020</v>
      </c>
      <c r="D68" s="48">
        <f>SUM(E68:H68)</f>
        <v>83165.8</v>
      </c>
      <c r="E68" s="49"/>
      <c r="F68" s="50">
        <f>SUM(F75+F82+F89)</f>
        <v>83165.8</v>
      </c>
      <c r="G68" s="50"/>
      <c r="H68" s="50"/>
      <c r="J68" s="18"/>
    </row>
    <row r="69" spans="1:16" ht="16.5" thickBot="1" x14ac:dyDescent="0.3">
      <c r="A69" s="87"/>
      <c r="B69" s="87"/>
      <c r="C69" s="9">
        <v>2021</v>
      </c>
      <c r="D69" s="48">
        <f t="shared" ref="D69:D72" si="14">SUM(E69:H69)</f>
        <v>94598.1</v>
      </c>
      <c r="E69" s="49"/>
      <c r="F69" s="50">
        <f>SUM(F76+F83+F90)</f>
        <v>94598.1</v>
      </c>
      <c r="G69" s="50"/>
      <c r="H69" s="50"/>
      <c r="J69" s="18"/>
      <c r="M69" s="18">
        <f>94740.3-D69</f>
        <v>142.19999999999709</v>
      </c>
      <c r="N69" s="4" t="s">
        <v>70</v>
      </c>
    </row>
    <row r="70" spans="1:16" ht="16.5" thickBot="1" x14ac:dyDescent="0.3">
      <c r="A70" s="87"/>
      <c r="B70" s="87"/>
      <c r="C70" s="9">
        <v>2022</v>
      </c>
      <c r="D70" s="48">
        <f t="shared" si="14"/>
        <v>118846.90000000001</v>
      </c>
      <c r="E70" s="49"/>
      <c r="F70" s="50">
        <f>SUM(F77+F84+F91)</f>
        <v>118846.90000000001</v>
      </c>
      <c r="G70" s="50"/>
      <c r="H70" s="50"/>
    </row>
    <row r="71" spans="1:16" ht="16.5" thickBot="1" x14ac:dyDescent="0.3">
      <c r="A71" s="87"/>
      <c r="B71" s="87"/>
      <c r="C71" s="9">
        <v>2023</v>
      </c>
      <c r="D71" s="48">
        <f t="shared" si="14"/>
        <v>120260.5</v>
      </c>
      <c r="E71" s="49"/>
      <c r="F71" s="50">
        <f>SUM(F78+F85+F92)</f>
        <v>120260.5</v>
      </c>
      <c r="G71" s="50"/>
      <c r="H71" s="50"/>
    </row>
    <row r="72" spans="1:16" ht="16.5" thickBot="1" x14ac:dyDescent="0.3">
      <c r="A72" s="88"/>
      <c r="B72" s="88"/>
      <c r="C72" s="9">
        <v>2024</v>
      </c>
      <c r="D72" s="48">
        <f t="shared" si="14"/>
        <v>125129.68000000001</v>
      </c>
      <c r="E72" s="49"/>
      <c r="F72" s="50">
        <f>F79+F86+F93</f>
        <v>125129.68000000001</v>
      </c>
      <c r="G72" s="50"/>
      <c r="H72" s="50"/>
    </row>
    <row r="73" spans="1:16" ht="16.5" thickBot="1" x14ac:dyDescent="0.3">
      <c r="A73" s="84" t="s">
        <v>16</v>
      </c>
      <c r="B73" s="85"/>
      <c r="C73" s="9"/>
      <c r="D73" s="52">
        <f>SUM(D67:D72)</f>
        <v>606245.78</v>
      </c>
      <c r="E73" s="45"/>
      <c r="F73" s="56">
        <f t="shared" ref="F73" si="15">SUM(F67:F72)</f>
        <v>606245.78</v>
      </c>
      <c r="G73" s="45"/>
      <c r="H73" s="53"/>
      <c r="I73" s="18">
        <f>D73-515772.3</f>
        <v>90473.48000000004</v>
      </c>
    </row>
    <row r="74" spans="1:16" ht="16.5" thickBot="1" x14ac:dyDescent="0.3">
      <c r="A74" s="86" t="s">
        <v>27</v>
      </c>
      <c r="B74" s="86" t="s">
        <v>18</v>
      </c>
      <c r="C74" s="9">
        <v>2019</v>
      </c>
      <c r="D74" s="48">
        <v>57435.1</v>
      </c>
      <c r="E74" s="49"/>
      <c r="F74" s="50">
        <v>57435.1</v>
      </c>
      <c r="G74" s="50"/>
      <c r="H74" s="50"/>
    </row>
    <row r="75" spans="1:16" ht="16.5" thickBot="1" x14ac:dyDescent="0.3">
      <c r="A75" s="87"/>
      <c r="B75" s="87"/>
      <c r="C75" s="9">
        <v>2020</v>
      </c>
      <c r="D75" s="48">
        <f t="shared" ref="D75:D79" si="16">SUM(E75:H75)</f>
        <v>57462</v>
      </c>
      <c r="E75" s="57"/>
      <c r="F75" s="50">
        <f>62528.4-1496.3-3570.1</f>
        <v>57462</v>
      </c>
      <c r="G75" s="50"/>
      <c r="H75" s="50"/>
      <c r="J75" s="18"/>
      <c r="P75" s="4" t="s">
        <v>69</v>
      </c>
    </row>
    <row r="76" spans="1:16" ht="16.5" thickBot="1" x14ac:dyDescent="0.3">
      <c r="A76" s="87"/>
      <c r="B76" s="87"/>
      <c r="C76" s="9">
        <v>2021</v>
      </c>
      <c r="D76" s="48">
        <f t="shared" si="16"/>
        <v>82267.400000000009</v>
      </c>
      <c r="E76" s="49"/>
      <c r="F76" s="50">
        <f>60311.1-2340.7-7840.7+6012.8+22944.9+3000+90.1+89.9</f>
        <v>82267.400000000009</v>
      </c>
      <c r="G76" s="50"/>
      <c r="H76" s="50"/>
      <c r="M76" s="18">
        <f>60311.1-82087.4</f>
        <v>-21776.299999999996</v>
      </c>
      <c r="N76" s="18" t="s">
        <v>66</v>
      </c>
      <c r="P76" s="18">
        <f>82087.4-F76</f>
        <v>-180.00000000001455</v>
      </c>
    </row>
    <row r="77" spans="1:16" ht="16.5" thickBot="1" x14ac:dyDescent="0.3">
      <c r="A77" s="87"/>
      <c r="B77" s="87"/>
      <c r="C77" s="9">
        <v>2022</v>
      </c>
      <c r="D77" s="48">
        <f t="shared" si="16"/>
        <v>72876.100000000006</v>
      </c>
      <c r="E77" s="49"/>
      <c r="F77" s="50">
        <v>72876.100000000006</v>
      </c>
      <c r="G77" s="50"/>
      <c r="H77" s="50"/>
    </row>
    <row r="78" spans="1:16" ht="16.5" thickBot="1" x14ac:dyDescent="0.3">
      <c r="A78" s="87"/>
      <c r="B78" s="87"/>
      <c r="C78" s="9">
        <v>2023</v>
      </c>
      <c r="D78" s="48">
        <f t="shared" si="16"/>
        <v>74289.7</v>
      </c>
      <c r="E78" s="49"/>
      <c r="F78" s="50">
        <v>74289.7</v>
      </c>
      <c r="G78" s="50"/>
      <c r="H78" s="50"/>
    </row>
    <row r="79" spans="1:16" ht="16.5" thickBot="1" x14ac:dyDescent="0.3">
      <c r="A79" s="88"/>
      <c r="B79" s="88"/>
      <c r="C79" s="9">
        <v>2024</v>
      </c>
      <c r="D79" s="48">
        <f t="shared" si="16"/>
        <v>77261.288</v>
      </c>
      <c r="E79" s="49"/>
      <c r="F79" s="50">
        <f>F78*1.04</f>
        <v>77261.288</v>
      </c>
      <c r="G79" s="50"/>
      <c r="H79" s="50"/>
    </row>
    <row r="80" spans="1:16" ht="16.5" thickBot="1" x14ac:dyDescent="0.3">
      <c r="A80" s="84" t="s">
        <v>16</v>
      </c>
      <c r="B80" s="85"/>
      <c r="C80" s="9"/>
      <c r="D80" s="45">
        <f>SUM(D74:D79)</f>
        <v>421591.58799999999</v>
      </c>
      <c r="E80" s="45"/>
      <c r="F80" s="45">
        <f>SUM(F74:F79)</f>
        <v>421591.58799999999</v>
      </c>
      <c r="G80" s="50"/>
      <c r="H80" s="50"/>
    </row>
    <row r="81" spans="1:16" ht="16.5" thickBot="1" x14ac:dyDescent="0.3">
      <c r="A81" s="86" t="s">
        <v>28</v>
      </c>
      <c r="B81" s="86" t="s">
        <v>18</v>
      </c>
      <c r="C81" s="9">
        <v>2019</v>
      </c>
      <c r="D81" s="48">
        <v>6300</v>
      </c>
      <c r="E81" s="49"/>
      <c r="F81" s="50">
        <v>6300</v>
      </c>
      <c r="G81" s="50"/>
      <c r="H81" s="50"/>
    </row>
    <row r="82" spans="1:16" ht="16.5" thickBot="1" x14ac:dyDescent="0.3">
      <c r="A82" s="87"/>
      <c r="B82" s="87"/>
      <c r="C82" s="9">
        <v>2020</v>
      </c>
      <c r="D82" s="48">
        <f>SUM(E82:H82)</f>
        <v>25342.799999999999</v>
      </c>
      <c r="E82" s="49"/>
      <c r="F82" s="50">
        <f>30843.5-2586-2914.7</f>
        <v>25342.799999999999</v>
      </c>
      <c r="G82" s="50"/>
      <c r="H82" s="50"/>
      <c r="J82" s="18"/>
    </row>
    <row r="83" spans="1:16" ht="16.5" thickBot="1" x14ac:dyDescent="0.3">
      <c r="A83" s="87"/>
      <c r="B83" s="87"/>
      <c r="C83" s="9">
        <v>2021</v>
      </c>
      <c r="D83" s="48">
        <f t="shared" ref="D83:D86" si="17">SUM(E83:H83)</f>
        <v>12122.899999999998</v>
      </c>
      <c r="E83" s="49"/>
      <c r="F83" s="50">
        <f>33899.2-3271.5-18504.8</f>
        <v>12122.899999999998</v>
      </c>
      <c r="G83" s="50"/>
      <c r="H83" s="50"/>
      <c r="M83" s="18">
        <f>33899.2-F83</f>
        <v>21776.3</v>
      </c>
      <c r="N83" s="4" t="s">
        <v>67</v>
      </c>
    </row>
    <row r="84" spans="1:16" ht="16.5" thickBot="1" x14ac:dyDescent="0.3">
      <c r="A84" s="87"/>
      <c r="B84" s="87"/>
      <c r="C84" s="9">
        <v>2022</v>
      </c>
      <c r="D84" s="48">
        <f t="shared" si="17"/>
        <v>45497.3</v>
      </c>
      <c r="E84" s="49"/>
      <c r="F84" s="50">
        <v>45497.3</v>
      </c>
      <c r="G84" s="50"/>
      <c r="H84" s="50"/>
    </row>
    <row r="85" spans="1:16" ht="16.5" thickBot="1" x14ac:dyDescent="0.3">
      <c r="A85" s="87"/>
      <c r="B85" s="87"/>
      <c r="C85" s="9">
        <v>2023</v>
      </c>
      <c r="D85" s="48">
        <f t="shared" si="17"/>
        <v>45497.3</v>
      </c>
      <c r="E85" s="49"/>
      <c r="F85" s="50">
        <v>45497.3</v>
      </c>
      <c r="G85" s="50"/>
      <c r="H85" s="50"/>
    </row>
    <row r="86" spans="1:16" ht="16.5" thickBot="1" x14ac:dyDescent="0.3">
      <c r="A86" s="88"/>
      <c r="B86" s="88"/>
      <c r="C86" s="9">
        <v>2024</v>
      </c>
      <c r="D86" s="48">
        <f t="shared" si="17"/>
        <v>47317.192000000003</v>
      </c>
      <c r="E86" s="49"/>
      <c r="F86" s="50">
        <f>F85*1.04</f>
        <v>47317.192000000003</v>
      </c>
      <c r="G86" s="50"/>
      <c r="H86" s="50"/>
    </row>
    <row r="87" spans="1:16" ht="16.5" thickBot="1" x14ac:dyDescent="0.3">
      <c r="A87" s="84" t="s">
        <v>16</v>
      </c>
      <c r="B87" s="85"/>
      <c r="C87" s="9"/>
      <c r="D87" s="48">
        <f>SUM(D81:D86)</f>
        <v>182077.492</v>
      </c>
      <c r="E87" s="45"/>
      <c r="F87" s="45">
        <f t="shared" ref="F87" si="18">SUM(F81:F86)</f>
        <v>182077.492</v>
      </c>
      <c r="G87" s="50"/>
      <c r="H87" s="50"/>
    </row>
    <row r="88" spans="1:16" ht="16.5" thickBot="1" x14ac:dyDescent="0.3">
      <c r="A88" s="86" t="s">
        <v>29</v>
      </c>
      <c r="B88" s="86" t="s">
        <v>18</v>
      </c>
      <c r="C88" s="9">
        <v>2019</v>
      </c>
      <c r="D88" s="48">
        <v>509.7</v>
      </c>
      <c r="E88" s="49"/>
      <c r="F88" s="50">
        <v>509.7</v>
      </c>
      <c r="G88" s="50"/>
      <c r="H88" s="50"/>
    </row>
    <row r="89" spans="1:16" ht="16.5" thickBot="1" x14ac:dyDescent="0.3">
      <c r="A89" s="87"/>
      <c r="B89" s="87"/>
      <c r="C89" s="9">
        <v>2020</v>
      </c>
      <c r="D89" s="48">
        <f>SUM(E89:H89)</f>
        <v>361</v>
      </c>
      <c r="E89" s="49"/>
      <c r="F89" s="50">
        <f>530-169</f>
        <v>361</v>
      </c>
      <c r="G89" s="50"/>
      <c r="H89" s="50"/>
    </row>
    <row r="90" spans="1:16" ht="16.5" thickBot="1" x14ac:dyDescent="0.3">
      <c r="A90" s="87"/>
      <c r="B90" s="87"/>
      <c r="C90" s="9">
        <v>2021</v>
      </c>
      <c r="D90" s="48">
        <f t="shared" ref="D90:D93" si="19">SUM(E90:H90)</f>
        <v>207.79999999999998</v>
      </c>
      <c r="E90" s="49"/>
      <c r="F90" s="50">
        <f>530-56.5-51.6-124.2-89.9</f>
        <v>207.79999999999998</v>
      </c>
      <c r="G90" s="50"/>
      <c r="H90" s="50"/>
      <c r="M90" s="18">
        <f>530-387.8</f>
        <v>142.19999999999999</v>
      </c>
      <c r="N90" s="4" t="s">
        <v>68</v>
      </c>
      <c r="P90" s="18">
        <f>387.8-F90</f>
        <v>180.00000000000003</v>
      </c>
    </row>
    <row r="91" spans="1:16" ht="16.5" thickBot="1" x14ac:dyDescent="0.3">
      <c r="A91" s="87"/>
      <c r="B91" s="87"/>
      <c r="C91" s="9">
        <v>2022</v>
      </c>
      <c r="D91" s="48">
        <f t="shared" si="19"/>
        <v>473.5</v>
      </c>
      <c r="E91" s="49"/>
      <c r="F91" s="50">
        <f>530-56.5</f>
        <v>473.5</v>
      </c>
      <c r="G91" s="50"/>
      <c r="H91" s="50"/>
      <c r="M91" s="42">
        <f>530-F91</f>
        <v>56.5</v>
      </c>
      <c r="N91" s="18"/>
    </row>
    <row r="92" spans="1:16" ht="16.5" thickBot="1" x14ac:dyDescent="0.3">
      <c r="A92" s="87"/>
      <c r="B92" s="87"/>
      <c r="C92" s="9">
        <v>2023</v>
      </c>
      <c r="D92" s="48">
        <f t="shared" si="19"/>
        <v>473.5</v>
      </c>
      <c r="E92" s="49"/>
      <c r="F92" s="50">
        <f>530-56.5</f>
        <v>473.5</v>
      </c>
      <c r="G92" s="50"/>
      <c r="H92" s="50"/>
      <c r="M92" s="39"/>
      <c r="N92" s="18"/>
    </row>
    <row r="93" spans="1:16" ht="16.5" thickBot="1" x14ac:dyDescent="0.3">
      <c r="A93" s="88"/>
      <c r="B93" s="88"/>
      <c r="C93" s="9">
        <v>2024</v>
      </c>
      <c r="D93" s="48">
        <f t="shared" si="19"/>
        <v>551.20000000000005</v>
      </c>
      <c r="E93" s="49"/>
      <c r="F93" s="50">
        <v>551.20000000000005</v>
      </c>
      <c r="G93" s="50"/>
      <c r="H93" s="50"/>
    </row>
    <row r="94" spans="1:16" ht="16.5" thickBot="1" x14ac:dyDescent="0.3">
      <c r="A94" s="84" t="s">
        <v>16</v>
      </c>
      <c r="B94" s="85"/>
      <c r="C94" s="9"/>
      <c r="D94" s="48">
        <f>SUM(D88:D93)</f>
        <v>2576.6999999999998</v>
      </c>
      <c r="E94" s="45"/>
      <c r="F94" s="45">
        <f t="shared" ref="F94" si="20">SUM(F88:F93)</f>
        <v>2576.6999999999998</v>
      </c>
      <c r="G94" s="50"/>
      <c r="H94" s="50"/>
    </row>
    <row r="95" spans="1:16" ht="16.5" thickBot="1" x14ac:dyDescent="0.3">
      <c r="A95" s="86" t="s">
        <v>30</v>
      </c>
      <c r="B95" s="86" t="s">
        <v>18</v>
      </c>
      <c r="C95" s="9">
        <v>2019</v>
      </c>
      <c r="D95" s="48">
        <v>32399.4</v>
      </c>
      <c r="E95" s="49"/>
      <c r="F95" s="50">
        <v>32399.4</v>
      </c>
      <c r="G95" s="50"/>
      <c r="H95" s="50"/>
    </row>
    <row r="96" spans="1:16" ht="16.5" thickBot="1" x14ac:dyDescent="0.3">
      <c r="A96" s="87"/>
      <c r="B96" s="87"/>
      <c r="C96" s="9">
        <v>2020</v>
      </c>
      <c r="D96" s="48">
        <f>SUM(E96:H96)</f>
        <v>32399.200000000001</v>
      </c>
      <c r="E96" s="49"/>
      <c r="F96" s="50">
        <f>SUM(F103+F110)</f>
        <v>32399.200000000001</v>
      </c>
      <c r="G96" s="50"/>
      <c r="H96" s="50"/>
    </row>
    <row r="97" spans="1:14" ht="16.5" thickBot="1" x14ac:dyDescent="0.3">
      <c r="A97" s="87"/>
      <c r="B97" s="87"/>
      <c r="C97" s="9">
        <v>2021</v>
      </c>
      <c r="D97" s="48">
        <f t="shared" ref="D97:D101" si="21">SUM(E97:H97)</f>
        <v>29668.1</v>
      </c>
      <c r="E97" s="49"/>
      <c r="F97" s="50">
        <f>SUM(F104+F111)</f>
        <v>29668.1</v>
      </c>
      <c r="G97" s="50"/>
      <c r="H97" s="50"/>
      <c r="M97" s="18">
        <f>30436.5-F97</f>
        <v>768.40000000000146</v>
      </c>
      <c r="N97" s="4" t="s">
        <v>65</v>
      </c>
    </row>
    <row r="98" spans="1:14" ht="16.5" thickBot="1" x14ac:dyDescent="0.3">
      <c r="A98" s="87"/>
      <c r="B98" s="87"/>
      <c r="C98" s="9">
        <v>2022</v>
      </c>
      <c r="D98" s="48">
        <f t="shared" si="21"/>
        <v>32183.5</v>
      </c>
      <c r="E98" s="49"/>
      <c r="F98" s="50">
        <f>SUM(F105+F112)</f>
        <v>32183.5</v>
      </c>
      <c r="G98" s="50"/>
      <c r="H98" s="50"/>
    </row>
    <row r="99" spans="1:14" ht="16.5" thickBot="1" x14ac:dyDescent="0.3">
      <c r="A99" s="87"/>
      <c r="B99" s="87"/>
      <c r="C99" s="9">
        <v>2023</v>
      </c>
      <c r="D99" s="48">
        <f t="shared" si="21"/>
        <v>33205</v>
      </c>
      <c r="E99" s="49"/>
      <c r="F99" s="50">
        <f>F106+F113</f>
        <v>33205</v>
      </c>
      <c r="G99" s="50"/>
      <c r="H99" s="50"/>
    </row>
    <row r="100" spans="1:14" ht="16.5" thickBot="1" x14ac:dyDescent="0.3">
      <c r="A100" s="88"/>
      <c r="B100" s="88"/>
      <c r="C100" s="9">
        <v>2024</v>
      </c>
      <c r="D100" s="48">
        <f t="shared" si="21"/>
        <v>34533.200000000004</v>
      </c>
      <c r="E100" s="49"/>
      <c r="F100" s="50">
        <f>F107+F114</f>
        <v>34533.200000000004</v>
      </c>
      <c r="G100" s="50"/>
      <c r="H100" s="50"/>
    </row>
    <row r="101" spans="1:14" ht="16.5" thickBot="1" x14ac:dyDescent="0.3">
      <c r="A101" s="84" t="s">
        <v>16</v>
      </c>
      <c r="B101" s="85"/>
      <c r="C101" s="9"/>
      <c r="D101" s="48">
        <f t="shared" si="21"/>
        <v>194388.40000000002</v>
      </c>
      <c r="E101" s="45"/>
      <c r="F101" s="45">
        <f>SUM(F95:F100)</f>
        <v>194388.40000000002</v>
      </c>
      <c r="G101" s="50"/>
      <c r="H101" s="50"/>
      <c r="I101" s="18">
        <f>D101-205708.7</f>
        <v>-11320.299999999988</v>
      </c>
    </row>
    <row r="102" spans="1:14" ht="16.5" thickBot="1" x14ac:dyDescent="0.3">
      <c r="A102" s="86" t="s">
        <v>31</v>
      </c>
      <c r="B102" s="86" t="s">
        <v>18</v>
      </c>
      <c r="C102" s="9">
        <v>2019</v>
      </c>
      <c r="D102" s="48">
        <v>23975.4</v>
      </c>
      <c r="E102" s="49"/>
      <c r="F102" s="50">
        <v>23975.4</v>
      </c>
      <c r="G102" s="50"/>
      <c r="H102" s="50"/>
    </row>
    <row r="103" spans="1:14" ht="16.5" thickBot="1" x14ac:dyDescent="0.3">
      <c r="A103" s="87"/>
      <c r="B103" s="87"/>
      <c r="C103" s="9">
        <v>2020</v>
      </c>
      <c r="D103" s="48">
        <f>SUM(E103:H103)</f>
        <v>23646.2</v>
      </c>
      <c r="E103" s="49"/>
      <c r="F103" s="50">
        <f>23733.7-87.5</f>
        <v>23646.2</v>
      </c>
      <c r="G103" s="50"/>
      <c r="H103" s="50"/>
      <c r="J103" s="18"/>
    </row>
    <row r="104" spans="1:14" ht="16.5" thickBot="1" x14ac:dyDescent="0.3">
      <c r="A104" s="87"/>
      <c r="B104" s="87"/>
      <c r="C104" s="9">
        <v>2021</v>
      </c>
      <c r="D104" s="48">
        <f t="shared" ref="D104:D108" si="22">SUM(E104:H104)</f>
        <v>24163.5</v>
      </c>
      <c r="E104" s="49"/>
      <c r="F104" s="50">
        <v>24163.5</v>
      </c>
      <c r="G104" s="50"/>
      <c r="H104" s="50"/>
    </row>
    <row r="105" spans="1:14" ht="16.5" thickBot="1" x14ac:dyDescent="0.3">
      <c r="A105" s="87"/>
      <c r="B105" s="87"/>
      <c r="C105" s="9">
        <v>2022</v>
      </c>
      <c r="D105" s="48">
        <f t="shared" si="22"/>
        <v>25659.5</v>
      </c>
      <c r="E105" s="49"/>
      <c r="F105" s="50">
        <v>25659.5</v>
      </c>
      <c r="G105" s="50"/>
      <c r="H105" s="50"/>
    </row>
    <row r="106" spans="1:14" ht="16.5" thickBot="1" x14ac:dyDescent="0.3">
      <c r="A106" s="87"/>
      <c r="B106" s="87"/>
      <c r="C106" s="9">
        <v>2023</v>
      </c>
      <c r="D106" s="48">
        <f t="shared" si="22"/>
        <v>26681</v>
      </c>
      <c r="E106" s="49"/>
      <c r="F106" s="50">
        <v>26681</v>
      </c>
      <c r="G106" s="50"/>
      <c r="H106" s="50"/>
    </row>
    <row r="107" spans="1:14" ht="16.5" thickBot="1" x14ac:dyDescent="0.3">
      <c r="A107" s="88"/>
      <c r="B107" s="88"/>
      <c r="C107" s="9">
        <v>2024</v>
      </c>
      <c r="D107" s="48">
        <f t="shared" si="22"/>
        <v>27748.240000000002</v>
      </c>
      <c r="E107" s="49"/>
      <c r="F107" s="50">
        <f>F106*1.04</f>
        <v>27748.240000000002</v>
      </c>
      <c r="G107" s="50"/>
      <c r="H107" s="50"/>
    </row>
    <row r="108" spans="1:14" ht="16.5" thickBot="1" x14ac:dyDescent="0.3">
      <c r="A108" s="84" t="s">
        <v>16</v>
      </c>
      <c r="B108" s="85"/>
      <c r="C108" s="21"/>
      <c r="D108" s="48">
        <f t="shared" si="22"/>
        <v>151873.84</v>
      </c>
      <c r="E108" s="45"/>
      <c r="F108" s="45">
        <f>SUM(F102:F107)</f>
        <v>151873.84</v>
      </c>
      <c r="G108" s="50"/>
      <c r="H108" s="50"/>
    </row>
    <row r="109" spans="1:14" ht="16.5" thickBot="1" x14ac:dyDescent="0.3">
      <c r="A109" s="86" t="s">
        <v>32</v>
      </c>
      <c r="B109" s="86" t="s">
        <v>18</v>
      </c>
      <c r="C109" s="9">
        <v>2019</v>
      </c>
      <c r="D109" s="48">
        <v>8424</v>
      </c>
      <c r="E109" s="49"/>
      <c r="F109" s="50">
        <v>8424</v>
      </c>
      <c r="G109" s="50"/>
      <c r="H109" s="50"/>
    </row>
    <row r="110" spans="1:14" ht="16.5" thickBot="1" x14ac:dyDescent="0.3">
      <c r="A110" s="87"/>
      <c r="B110" s="87"/>
      <c r="C110" s="9">
        <v>2020</v>
      </c>
      <c r="D110" s="48">
        <f>SUM(E110:H110)</f>
        <v>8753</v>
      </c>
      <c r="E110" s="49"/>
      <c r="F110" s="50">
        <f>8761-8</f>
        <v>8753</v>
      </c>
      <c r="G110" s="50"/>
      <c r="H110" s="50"/>
      <c r="J110" s="18"/>
    </row>
    <row r="111" spans="1:14" ht="16.5" thickBot="1" x14ac:dyDescent="0.3">
      <c r="A111" s="87"/>
      <c r="B111" s="87"/>
      <c r="C111" s="9">
        <v>2021</v>
      </c>
      <c r="D111" s="48">
        <f t="shared" ref="D111:D115" si="23">SUM(E111:H111)</f>
        <v>5504.6</v>
      </c>
      <c r="E111" s="49"/>
      <c r="F111" s="50">
        <f>6273-768.4</f>
        <v>5504.6</v>
      </c>
      <c r="G111" s="50"/>
      <c r="H111" s="50"/>
      <c r="M111" s="18">
        <f>6273-F111</f>
        <v>768.39999999999964</v>
      </c>
      <c r="N111" s="4" t="s">
        <v>65</v>
      </c>
    </row>
    <row r="112" spans="1:14" ht="16.5" thickBot="1" x14ac:dyDescent="0.3">
      <c r="A112" s="87"/>
      <c r="B112" s="87"/>
      <c r="C112" s="9">
        <v>2022</v>
      </c>
      <c r="D112" s="48">
        <f t="shared" si="23"/>
        <v>6524</v>
      </c>
      <c r="E112" s="49"/>
      <c r="F112" s="50">
        <v>6524</v>
      </c>
      <c r="G112" s="50"/>
      <c r="H112" s="50"/>
    </row>
    <row r="113" spans="1:16" ht="16.5" thickBot="1" x14ac:dyDescent="0.3">
      <c r="A113" s="87"/>
      <c r="B113" s="87"/>
      <c r="C113" s="9">
        <v>2023</v>
      </c>
      <c r="D113" s="48">
        <f t="shared" si="23"/>
        <v>6524</v>
      </c>
      <c r="E113" s="49"/>
      <c r="F113" s="50">
        <v>6524</v>
      </c>
      <c r="G113" s="50"/>
      <c r="H113" s="50"/>
    </row>
    <row r="114" spans="1:16" ht="16.5" thickBot="1" x14ac:dyDescent="0.3">
      <c r="A114" s="88"/>
      <c r="B114" s="88"/>
      <c r="C114" s="9">
        <v>2024</v>
      </c>
      <c r="D114" s="48">
        <f t="shared" si="23"/>
        <v>6784.96</v>
      </c>
      <c r="E114" s="55"/>
      <c r="F114" s="50">
        <f>F113*1.04</f>
        <v>6784.96</v>
      </c>
      <c r="G114" s="50"/>
      <c r="H114" s="50"/>
    </row>
    <row r="115" spans="1:16" ht="16.5" thickBot="1" x14ac:dyDescent="0.3">
      <c r="A115" s="22" t="s">
        <v>16</v>
      </c>
      <c r="B115" s="23"/>
      <c r="C115" s="9"/>
      <c r="D115" s="48">
        <f t="shared" si="23"/>
        <v>42514.559999999998</v>
      </c>
      <c r="E115" s="45"/>
      <c r="F115" s="45">
        <f>SUM(F109:F114)</f>
        <v>42514.559999999998</v>
      </c>
      <c r="G115" s="50"/>
      <c r="H115" s="50"/>
    </row>
    <row r="116" spans="1:16" ht="16.5" thickBot="1" x14ac:dyDescent="0.3">
      <c r="A116" s="86" t="s">
        <v>33</v>
      </c>
      <c r="B116" s="86" t="s">
        <v>18</v>
      </c>
      <c r="C116" s="24">
        <v>2019</v>
      </c>
      <c r="D116" s="45">
        <f>SUM(D123++D130+D132+D138)</f>
        <v>1686909.4000000001</v>
      </c>
      <c r="E116" s="45">
        <f>SUM(E123++E130+E132+E138)</f>
        <v>617151.5</v>
      </c>
      <c r="F116" s="50">
        <f>SUM(F123+F130+F132+F138)</f>
        <v>1069623.8999999999</v>
      </c>
      <c r="G116" s="50">
        <f>G130</f>
        <v>134</v>
      </c>
      <c r="H116" s="50"/>
    </row>
    <row r="117" spans="1:16" ht="16.5" thickBot="1" x14ac:dyDescent="0.3">
      <c r="A117" s="87"/>
      <c r="B117" s="87"/>
      <c r="C117" s="9">
        <v>2020</v>
      </c>
      <c r="D117" s="48">
        <f>SUM(E117:G117)</f>
        <v>1732566.5</v>
      </c>
      <c r="E117" s="49">
        <f>SUM(E124+E133+E139)</f>
        <v>568763.20000000007</v>
      </c>
      <c r="F117" s="50">
        <f>SUM(F124++F133+F139)</f>
        <v>1163803.3</v>
      </c>
      <c r="G117" s="50"/>
      <c r="H117" s="50"/>
    </row>
    <row r="118" spans="1:16" ht="16.5" thickBot="1" x14ac:dyDescent="0.3">
      <c r="A118" s="87"/>
      <c r="B118" s="87"/>
      <c r="C118" s="9">
        <v>2021</v>
      </c>
      <c r="D118" s="48">
        <f>SUM(E118:G118)</f>
        <v>1723504.7000000002</v>
      </c>
      <c r="E118" s="49">
        <f>SUM(E125+E134+E140)</f>
        <v>516081.9</v>
      </c>
      <c r="F118" s="50">
        <f>SUM(F125++F134+F140)</f>
        <v>1207422.8</v>
      </c>
      <c r="G118" s="50"/>
      <c r="H118" s="50"/>
      <c r="J118" s="4">
        <v>70000</v>
      </c>
      <c r="M118" s="4">
        <f>1219995.8-1207442.8</f>
        <v>12553</v>
      </c>
      <c r="N118" s="4" t="s">
        <v>72</v>
      </c>
    </row>
    <row r="119" spans="1:16" ht="16.5" thickBot="1" x14ac:dyDescent="0.3">
      <c r="A119" s="87"/>
      <c r="B119" s="87"/>
      <c r="C119" s="9">
        <v>2022</v>
      </c>
      <c r="D119" s="48">
        <f>SUM(E119:G119)</f>
        <v>1700742.5</v>
      </c>
      <c r="E119" s="49">
        <f>SUM(E126+E135+E141)</f>
        <v>471999.1</v>
      </c>
      <c r="F119" s="50">
        <f>SUM(F126)</f>
        <v>1228743.3999999999</v>
      </c>
      <c r="G119" s="50"/>
      <c r="H119" s="50"/>
    </row>
    <row r="120" spans="1:16" ht="16.5" thickBot="1" x14ac:dyDescent="0.3">
      <c r="A120" s="87"/>
      <c r="B120" s="87"/>
      <c r="C120" s="9">
        <v>2023</v>
      </c>
      <c r="D120" s="48">
        <f>SUM(E120:G120)</f>
        <v>1864102.8000000003</v>
      </c>
      <c r="E120" s="49">
        <f>SUM(E127+E136+E142)</f>
        <v>613044.70000000007</v>
      </c>
      <c r="F120" s="50">
        <f>F127</f>
        <v>1251058.1000000001</v>
      </c>
      <c r="G120" s="50"/>
      <c r="H120" s="50"/>
    </row>
    <row r="121" spans="1:16" ht="16.5" thickBot="1" x14ac:dyDescent="0.3">
      <c r="A121" s="88"/>
      <c r="B121" s="88"/>
      <c r="C121" s="9">
        <v>2024</v>
      </c>
      <c r="D121" s="48">
        <f t="shared" ref="D121" si="24">SUM(E121:G121)</f>
        <v>1301100.4240000001</v>
      </c>
      <c r="E121" s="49"/>
      <c r="F121" s="50">
        <f>F128</f>
        <v>1301100.4240000001</v>
      </c>
      <c r="G121" s="50"/>
      <c r="H121" s="50"/>
    </row>
    <row r="122" spans="1:16" ht="16.5" thickBot="1" x14ac:dyDescent="0.3">
      <c r="A122" s="84" t="s">
        <v>16</v>
      </c>
      <c r="B122" s="85"/>
      <c r="C122" s="9"/>
      <c r="D122" s="48">
        <f>SUM(D116:D121)</f>
        <v>10008926.324000001</v>
      </c>
      <c r="E122" s="45">
        <f>SUM(E116:E121)</f>
        <v>2787040.4000000004</v>
      </c>
      <c r="F122" s="45">
        <f>SUM(F116:F121)</f>
        <v>7221751.9240000006</v>
      </c>
      <c r="G122" s="45">
        <f>SUM(G116:G121)</f>
        <v>134</v>
      </c>
      <c r="H122" s="50"/>
      <c r="I122" s="18">
        <f>D122-9027007.7</f>
        <v>981918.6240000017</v>
      </c>
      <c r="J122" s="18"/>
      <c r="K122" s="18"/>
    </row>
    <row r="123" spans="1:16" ht="16.5" thickBot="1" x14ac:dyDescent="0.3">
      <c r="A123" s="86" t="s">
        <v>34</v>
      </c>
      <c r="B123" s="86" t="s">
        <v>35</v>
      </c>
      <c r="C123" s="9">
        <v>2019</v>
      </c>
      <c r="D123" s="48">
        <f>SUM(E123:F123)</f>
        <v>1333729.9047900001</v>
      </c>
      <c r="E123" s="49">
        <f>327057.89835+1703.48801+622.81843-437.8-1.5+19515.6</f>
        <v>348460.50478999992</v>
      </c>
      <c r="F123" s="50">
        <f>985294.4-25</f>
        <v>985269.4</v>
      </c>
      <c r="G123" s="50"/>
      <c r="H123" s="50"/>
    </row>
    <row r="124" spans="1:16" ht="16.5" thickBot="1" x14ac:dyDescent="0.3">
      <c r="A124" s="87"/>
      <c r="B124" s="87"/>
      <c r="C124" s="9">
        <v>2020</v>
      </c>
      <c r="D124" s="48">
        <f t="shared" ref="D124" si="25">SUM(E124:F124)</f>
        <v>1417552.1</v>
      </c>
      <c r="E124" s="49">
        <f>326934.2+580+147+17278.9</f>
        <v>344940.10000000003</v>
      </c>
      <c r="F124" s="50">
        <f>1062012.7-4650-1533+1533+169+53.6+8541.9+3570.1+2914.7</f>
        <v>1072612</v>
      </c>
      <c r="G124" s="50"/>
      <c r="H124" s="50"/>
      <c r="J124" s="25"/>
      <c r="P124" s="4" t="s">
        <v>76</v>
      </c>
    </row>
    <row r="125" spans="1:16" ht="16.5" thickBot="1" x14ac:dyDescent="0.3">
      <c r="A125" s="87"/>
      <c r="B125" s="87"/>
      <c r="C125" s="9">
        <v>2021</v>
      </c>
      <c r="D125" s="48">
        <f>SUM(E125:F125)</f>
        <v>1436819.24</v>
      </c>
      <c r="E125" s="55">
        <f>324061.8+0.64+20.8</f>
        <v>324083.24</v>
      </c>
      <c r="F125" s="50">
        <f>1098239.9-10-50.1-37.9+14594.1</f>
        <v>1112736</v>
      </c>
      <c r="G125" s="50"/>
      <c r="H125" s="58"/>
      <c r="J125" s="25"/>
      <c r="M125" s="18">
        <f>1098239.9-1112756</f>
        <v>-14516.100000000093</v>
      </c>
      <c r="N125" s="4" t="s">
        <v>71</v>
      </c>
      <c r="P125" s="18">
        <f>1112756-F125</f>
        <v>20</v>
      </c>
    </row>
    <row r="126" spans="1:16" ht="16.5" thickBot="1" x14ac:dyDescent="0.3">
      <c r="A126" s="87"/>
      <c r="B126" s="87"/>
      <c r="C126" s="9">
        <v>2022</v>
      </c>
      <c r="D126" s="48">
        <f>SUM(E126:F126)</f>
        <v>1549475.2</v>
      </c>
      <c r="E126" s="45">
        <v>320731.8</v>
      </c>
      <c r="F126" s="50">
        <v>1228743.3999999999</v>
      </c>
      <c r="G126" s="50"/>
      <c r="H126" s="50"/>
      <c r="M126" s="47">
        <f>324061.8-E125</f>
        <v>-21.440000000002328</v>
      </c>
    </row>
    <row r="127" spans="1:16" ht="16.5" thickBot="1" x14ac:dyDescent="0.3">
      <c r="A127" s="87"/>
      <c r="B127" s="87"/>
      <c r="C127" s="9">
        <v>2023</v>
      </c>
      <c r="D127" s="48">
        <f t="shared" ref="D127:D128" si="26">SUM(E127:F127)</f>
        <v>1579287.6</v>
      </c>
      <c r="E127" s="49">
        <v>328229.5</v>
      </c>
      <c r="F127" s="50">
        <v>1251058.1000000001</v>
      </c>
      <c r="G127" s="50"/>
      <c r="H127" s="50"/>
    </row>
    <row r="128" spans="1:16" ht="16.5" thickBot="1" x14ac:dyDescent="0.3">
      <c r="A128" s="88"/>
      <c r="B128" s="88"/>
      <c r="C128" s="9">
        <v>2024</v>
      </c>
      <c r="D128" s="48">
        <f t="shared" si="26"/>
        <v>1301100.4240000001</v>
      </c>
      <c r="E128" s="49"/>
      <c r="F128" s="50">
        <f>F127*1.04</f>
        <v>1301100.4240000001</v>
      </c>
      <c r="G128" s="50"/>
      <c r="H128" s="50"/>
    </row>
    <row r="129" spans="1:14" ht="16.5" thickBot="1" x14ac:dyDescent="0.3">
      <c r="A129" s="84" t="s">
        <v>16</v>
      </c>
      <c r="B129" s="85"/>
      <c r="C129" s="9"/>
      <c r="D129" s="45">
        <f>SUM(D123:D128)</f>
        <v>8617964.4687900003</v>
      </c>
      <c r="E129" s="45">
        <f>SUM(E123:E128)</f>
        <v>1666445.14479</v>
      </c>
      <c r="F129" s="48">
        <f>SUM(F123:F128)</f>
        <v>6951519.324000001</v>
      </c>
      <c r="G129" s="49"/>
      <c r="H129" s="50"/>
    </row>
    <row r="130" spans="1:14" ht="49.5" customHeight="1" thickBot="1" x14ac:dyDescent="0.3">
      <c r="A130" s="26" t="s">
        <v>36</v>
      </c>
      <c r="B130" s="26" t="s">
        <v>18</v>
      </c>
      <c r="C130" s="9">
        <v>2019</v>
      </c>
      <c r="D130" s="48">
        <f>SUM(E130:H130)</f>
        <v>2510</v>
      </c>
      <c r="E130" s="49"/>
      <c r="F130" s="50">
        <v>2376</v>
      </c>
      <c r="G130" s="50">
        <v>134</v>
      </c>
      <c r="H130" s="50"/>
    </row>
    <row r="131" spans="1:14" ht="16.5" thickBot="1" x14ac:dyDescent="0.3">
      <c r="A131" s="84" t="s">
        <v>16</v>
      </c>
      <c r="B131" s="85"/>
      <c r="C131" s="9"/>
      <c r="D131" s="48">
        <f>SUM(D130:D130)</f>
        <v>2510</v>
      </c>
      <c r="E131" s="49"/>
      <c r="F131" s="50">
        <f>SUM(F130:F130)</f>
        <v>2376</v>
      </c>
      <c r="G131" s="50">
        <f>SUM(G130:G130)</f>
        <v>134</v>
      </c>
      <c r="H131" s="49"/>
    </row>
    <row r="132" spans="1:14" ht="16.5" customHeight="1" thickBot="1" x14ac:dyDescent="0.3">
      <c r="A132" s="96" t="s">
        <v>37</v>
      </c>
      <c r="B132" s="90" t="s">
        <v>18</v>
      </c>
      <c r="C132" s="27">
        <v>2019</v>
      </c>
      <c r="D132" s="48">
        <f>SUM(E132:F132)</f>
        <v>145461.79521000001</v>
      </c>
      <c r="E132" s="49">
        <f>65370.30165-1703.48801-622.81843+437.8+1.5</f>
        <v>63483.295210000004</v>
      </c>
      <c r="F132" s="50">
        <v>81978.5</v>
      </c>
      <c r="G132" s="50"/>
      <c r="H132" s="49"/>
    </row>
    <row r="133" spans="1:14" ht="16.5" thickBot="1" x14ac:dyDescent="0.3">
      <c r="A133" s="97"/>
      <c r="B133" s="91"/>
      <c r="C133" s="28">
        <v>2020</v>
      </c>
      <c r="D133" s="48">
        <f>SUM(E133:H133)</f>
        <v>211209.60000000001</v>
      </c>
      <c r="E133" s="49">
        <f>120745.3-580-147</f>
        <v>120018.3</v>
      </c>
      <c r="F133" s="50">
        <f>99733.2-8541.9</f>
        <v>91191.3</v>
      </c>
      <c r="G133" s="50"/>
      <c r="H133" s="49"/>
    </row>
    <row r="134" spans="1:14" ht="16.5" thickBot="1" x14ac:dyDescent="0.3">
      <c r="A134" s="97"/>
      <c r="B134" s="91"/>
      <c r="C134" s="28">
        <v>2021</v>
      </c>
      <c r="D134" s="48">
        <f>SUM(E134:H134)</f>
        <v>181078.86</v>
      </c>
      <c r="E134" s="49">
        <f>106413.5-0.64-20.8</f>
        <v>106392.06</v>
      </c>
      <c r="F134" s="50">
        <f>101755.9-27069.1</f>
        <v>74686.799999999988</v>
      </c>
      <c r="G134" s="50"/>
      <c r="H134" s="50"/>
      <c r="J134" s="18"/>
      <c r="M134" s="18">
        <f>101755.9-F134</f>
        <v>27069.100000000006</v>
      </c>
      <c r="N134" s="4" t="s">
        <v>65</v>
      </c>
    </row>
    <row r="135" spans="1:14" ht="16.5" thickBot="1" x14ac:dyDescent="0.3">
      <c r="A135" s="97"/>
      <c r="B135" s="91"/>
      <c r="C135" s="28">
        <v>2022</v>
      </c>
      <c r="D135" s="48">
        <f>SUM(E135:H135)</f>
        <v>149155.5</v>
      </c>
      <c r="E135" s="49">
        <v>149155.5</v>
      </c>
      <c r="F135" s="50"/>
      <c r="G135" s="50"/>
      <c r="H135" s="50"/>
      <c r="M135" s="47">
        <f>106413.5-E134</f>
        <v>21.440000000002328</v>
      </c>
    </row>
    <row r="136" spans="1:14" ht="16.5" thickBot="1" x14ac:dyDescent="0.3">
      <c r="A136" s="98"/>
      <c r="B136" s="93"/>
      <c r="C136" s="27">
        <v>2023</v>
      </c>
      <c r="D136" s="48">
        <f>SUM(E136:H136)</f>
        <v>167551.9</v>
      </c>
      <c r="E136" s="49">
        <v>167551.9</v>
      </c>
      <c r="F136" s="50"/>
      <c r="G136" s="50"/>
      <c r="H136" s="50"/>
    </row>
    <row r="137" spans="1:14" ht="16.5" thickBot="1" x14ac:dyDescent="0.3">
      <c r="A137" s="94" t="s">
        <v>16</v>
      </c>
      <c r="B137" s="95"/>
      <c r="C137" s="9"/>
      <c r="D137" s="45">
        <f>SUM(D132:D136)</f>
        <v>854457.65521</v>
      </c>
      <c r="E137" s="45">
        <f>SUM(E132:E136)</f>
        <v>606601.05521000002</v>
      </c>
      <c r="F137" s="45">
        <f>SUM(F132:F134)</f>
        <v>247856.59999999998</v>
      </c>
      <c r="G137" s="50"/>
      <c r="H137" s="50"/>
    </row>
    <row r="138" spans="1:14" ht="16.5" customHeight="1" thickBot="1" x14ac:dyDescent="0.3">
      <c r="A138" s="96" t="s">
        <v>38</v>
      </c>
      <c r="B138" s="90" t="s">
        <v>18</v>
      </c>
      <c r="C138" s="27">
        <v>2019</v>
      </c>
      <c r="D138" s="48">
        <f>SUM(E138:H138)</f>
        <v>205207.7</v>
      </c>
      <c r="E138" s="49">
        <v>205207.7</v>
      </c>
      <c r="F138" s="50"/>
      <c r="G138" s="50"/>
      <c r="H138" s="50"/>
    </row>
    <row r="139" spans="1:14" ht="16.5" thickBot="1" x14ac:dyDescent="0.3">
      <c r="A139" s="97"/>
      <c r="B139" s="91"/>
      <c r="C139" s="28">
        <v>2020</v>
      </c>
      <c r="D139" s="48">
        <f>SUM(E139:H139)</f>
        <v>103804.8</v>
      </c>
      <c r="E139" s="49">
        <v>103804.8</v>
      </c>
      <c r="F139" s="50"/>
      <c r="G139" s="50"/>
      <c r="H139" s="50"/>
    </row>
    <row r="140" spans="1:14" ht="16.5" customHeight="1" thickBot="1" x14ac:dyDescent="0.3">
      <c r="A140" s="97"/>
      <c r="B140" s="91"/>
      <c r="C140" s="28">
        <v>2021</v>
      </c>
      <c r="D140" s="48">
        <f t="shared" ref="D140:D142" si="27">SUM(E140:H140)</f>
        <v>105606.6</v>
      </c>
      <c r="E140" s="49">
        <f>65175.6+20431</f>
        <v>85606.6</v>
      </c>
      <c r="F140" s="50">
        <v>20000</v>
      </c>
      <c r="G140" s="50"/>
      <c r="H140" s="50"/>
      <c r="M140" s="18">
        <f>65175.6-E140</f>
        <v>-20431.000000000007</v>
      </c>
    </row>
    <row r="141" spans="1:14" ht="16.5" customHeight="1" thickBot="1" x14ac:dyDescent="0.3">
      <c r="A141" s="97"/>
      <c r="B141" s="91"/>
      <c r="C141" s="28">
        <v>2022</v>
      </c>
      <c r="D141" s="48">
        <f t="shared" si="27"/>
        <v>2111.8000000000002</v>
      </c>
      <c r="E141" s="49">
        <v>2111.8000000000002</v>
      </c>
      <c r="F141" s="50"/>
      <c r="G141" s="50"/>
      <c r="H141" s="50"/>
    </row>
    <row r="142" spans="1:14" ht="16.5" customHeight="1" thickBot="1" x14ac:dyDescent="0.3">
      <c r="A142" s="98"/>
      <c r="B142" s="93"/>
      <c r="C142" s="27">
        <v>2023</v>
      </c>
      <c r="D142" s="48">
        <f t="shared" si="27"/>
        <v>117263.3</v>
      </c>
      <c r="E142" s="49">
        <v>117263.3</v>
      </c>
      <c r="F142" s="50"/>
      <c r="G142" s="50"/>
      <c r="H142" s="50"/>
    </row>
    <row r="143" spans="1:14" ht="16.5" thickBot="1" x14ac:dyDescent="0.3">
      <c r="A143" s="84" t="s">
        <v>16</v>
      </c>
      <c r="B143" s="89"/>
      <c r="C143" s="9"/>
      <c r="D143" s="48">
        <f>SUM(D138:D142)</f>
        <v>533994.19999999995</v>
      </c>
      <c r="E143" s="45">
        <f>SUM(E138:E142)</f>
        <v>513994.19999999995</v>
      </c>
      <c r="F143" s="45">
        <f>SUM(F138:F142)</f>
        <v>20000</v>
      </c>
      <c r="G143" s="50"/>
      <c r="H143" s="50"/>
    </row>
    <row r="144" spans="1:14" ht="16.5" thickBot="1" x14ac:dyDescent="0.3">
      <c r="A144" s="86" t="s">
        <v>39</v>
      </c>
      <c r="B144" s="86" t="s">
        <v>40</v>
      </c>
      <c r="C144" s="9">
        <v>2019</v>
      </c>
      <c r="D144" s="48">
        <f>SUM(E144:F144)</f>
        <v>69385.5</v>
      </c>
      <c r="E144" s="49">
        <f>E151+E158</f>
        <v>2278.6999999999998</v>
      </c>
      <c r="F144" s="50">
        <v>67106.8</v>
      </c>
      <c r="G144" s="50"/>
      <c r="H144" s="50"/>
    </row>
    <row r="145" spans="1:16" ht="16.5" thickBot="1" x14ac:dyDescent="0.3">
      <c r="A145" s="87"/>
      <c r="B145" s="87"/>
      <c r="C145" s="9">
        <v>2020</v>
      </c>
      <c r="D145" s="48">
        <f>SUM(E145:H145)</f>
        <v>73534.200000000012</v>
      </c>
      <c r="E145" s="49">
        <f>E152+E159</f>
        <v>226</v>
      </c>
      <c r="F145" s="50">
        <f>SUM(F152+F159)</f>
        <v>73308.200000000012</v>
      </c>
      <c r="G145" s="50"/>
      <c r="H145" s="50"/>
      <c r="P145" s="4" t="s">
        <v>76</v>
      </c>
    </row>
    <row r="146" spans="1:16" ht="16.5" thickBot="1" x14ac:dyDescent="0.3">
      <c r="A146" s="87"/>
      <c r="B146" s="87"/>
      <c r="C146" s="9">
        <v>2021</v>
      </c>
      <c r="D146" s="48">
        <f t="shared" ref="D146:D148" si="28">SUM(E146:H146)</f>
        <v>81601.5</v>
      </c>
      <c r="E146" s="49"/>
      <c r="F146" s="50">
        <f>SUM(F153+F160)</f>
        <v>81601.5</v>
      </c>
      <c r="G146" s="50"/>
      <c r="H146" s="50"/>
      <c r="M146" s="4">
        <f>84525.4-81607.5</f>
        <v>2917.8999999999942</v>
      </c>
      <c r="N146" s="4" t="s">
        <v>73</v>
      </c>
      <c r="P146" s="18">
        <f>81607.5-F146</f>
        <v>6</v>
      </c>
    </row>
    <row r="147" spans="1:16" ht="16.5" thickBot="1" x14ac:dyDescent="0.3">
      <c r="A147" s="87"/>
      <c r="B147" s="87"/>
      <c r="C147" s="9">
        <v>2022</v>
      </c>
      <c r="D147" s="48">
        <f t="shared" si="28"/>
        <v>79277.600000000006</v>
      </c>
      <c r="E147" s="49"/>
      <c r="F147" s="50">
        <f>SUM(F154+F161)</f>
        <v>79277.600000000006</v>
      </c>
      <c r="G147" s="50"/>
      <c r="H147" s="50"/>
    </row>
    <row r="148" spans="1:16" ht="16.5" thickBot="1" x14ac:dyDescent="0.3">
      <c r="A148" s="87"/>
      <c r="B148" s="87"/>
      <c r="C148" s="9">
        <v>2023</v>
      </c>
      <c r="D148" s="48">
        <f t="shared" si="28"/>
        <v>82499.100000000006</v>
      </c>
      <c r="E148" s="49"/>
      <c r="F148" s="50">
        <f t="shared" ref="F148" si="29">SUM(F155+F162)</f>
        <v>82499.100000000006</v>
      </c>
      <c r="G148" s="50"/>
      <c r="H148" s="50"/>
    </row>
    <row r="149" spans="1:16" ht="16.5" thickBot="1" x14ac:dyDescent="0.3">
      <c r="A149" s="88"/>
      <c r="B149" s="88"/>
      <c r="C149" s="9">
        <v>2024</v>
      </c>
      <c r="D149" s="48">
        <f>SUM(E149:H149)</f>
        <v>85799.063999999998</v>
      </c>
      <c r="E149" s="49"/>
      <c r="F149" s="50">
        <f>SUM(F156+F163)-0.1</f>
        <v>85799.063999999998</v>
      </c>
      <c r="G149" s="50"/>
      <c r="H149" s="50"/>
    </row>
    <row r="150" spans="1:16" ht="16.5" thickBot="1" x14ac:dyDescent="0.3">
      <c r="A150" s="84" t="s">
        <v>16</v>
      </c>
      <c r="B150" s="85"/>
      <c r="C150" s="9"/>
      <c r="D150" s="48">
        <f>SUM(D144:D149)</f>
        <v>472096.96400000004</v>
      </c>
      <c r="E150" s="45">
        <f>SUM(E144:E149)</f>
        <v>2504.6999999999998</v>
      </c>
      <c r="F150" s="45">
        <f>SUM(F144:F149)</f>
        <v>469592.26399999997</v>
      </c>
      <c r="G150" s="50"/>
      <c r="H150" s="50"/>
      <c r="I150" s="18">
        <f>D150-450072.5</f>
        <v>22024.464000000036</v>
      </c>
    </row>
    <row r="151" spans="1:16" ht="16.5" thickBot="1" x14ac:dyDescent="0.3">
      <c r="A151" s="86" t="s">
        <v>41</v>
      </c>
      <c r="B151" s="86" t="s">
        <v>40</v>
      </c>
      <c r="C151" s="9">
        <v>2019</v>
      </c>
      <c r="D151" s="48">
        <f>SUM(E151:F151)</f>
        <v>64351.500000000007</v>
      </c>
      <c r="E151" s="49">
        <f>146.7+278.7</f>
        <v>425.4</v>
      </c>
      <c r="F151" s="50">
        <v>63926.100000000006</v>
      </c>
      <c r="G151" s="50"/>
      <c r="H151" s="50"/>
    </row>
    <row r="152" spans="1:16" ht="16.5" thickBot="1" x14ac:dyDescent="0.3">
      <c r="A152" s="87"/>
      <c r="B152" s="87"/>
      <c r="C152" s="9">
        <v>2020</v>
      </c>
      <c r="D152" s="48">
        <f>SUM(E152:F152)</f>
        <v>62317.100000000006</v>
      </c>
      <c r="E152" s="49">
        <v>226</v>
      </c>
      <c r="F152" s="50">
        <f>62065.8+25.3</f>
        <v>62091.100000000006</v>
      </c>
      <c r="G152" s="50"/>
      <c r="H152" s="50"/>
      <c r="J152" s="18"/>
    </row>
    <row r="153" spans="1:16" ht="16.5" thickBot="1" x14ac:dyDescent="0.3">
      <c r="A153" s="87"/>
      <c r="B153" s="87"/>
      <c r="C153" s="9">
        <v>2021</v>
      </c>
      <c r="D153" s="48">
        <f t="shared" ref="D153:D156" si="30">SUM(E153:F153)</f>
        <v>78811.7</v>
      </c>
      <c r="E153" s="49"/>
      <c r="F153" s="50">
        <f>80517.9-1700.2-6</f>
        <v>78811.7</v>
      </c>
      <c r="G153" s="50"/>
      <c r="H153" s="50"/>
      <c r="M153" s="4">
        <f>80517.9-78817.7</f>
        <v>1700.1999999999971</v>
      </c>
      <c r="N153" s="4" t="s">
        <v>74</v>
      </c>
      <c r="P153" s="18">
        <f>78817.7-F153</f>
        <v>6</v>
      </c>
    </row>
    <row r="154" spans="1:16" ht="16.5" thickBot="1" x14ac:dyDescent="0.3">
      <c r="A154" s="87"/>
      <c r="B154" s="87"/>
      <c r="C154" s="9">
        <v>2022</v>
      </c>
      <c r="D154" s="48">
        <f t="shared" si="30"/>
        <v>74664</v>
      </c>
      <c r="E154" s="49"/>
      <c r="F154" s="50">
        <v>74664</v>
      </c>
      <c r="G154" s="50"/>
      <c r="H154" s="50"/>
    </row>
    <row r="155" spans="1:16" ht="16.5" thickBot="1" x14ac:dyDescent="0.3">
      <c r="A155" s="87"/>
      <c r="B155" s="87"/>
      <c r="C155" s="9">
        <v>2023</v>
      </c>
      <c r="D155" s="48">
        <f t="shared" si="30"/>
        <v>77728</v>
      </c>
      <c r="E155" s="49"/>
      <c r="F155" s="50">
        <v>77728</v>
      </c>
      <c r="G155" s="50"/>
      <c r="H155" s="50"/>
    </row>
    <row r="156" spans="1:16" ht="16.5" thickBot="1" x14ac:dyDescent="0.3">
      <c r="A156" s="88"/>
      <c r="B156" s="88"/>
      <c r="C156" s="9">
        <v>2024</v>
      </c>
      <c r="D156" s="48">
        <f t="shared" si="30"/>
        <v>80837.12000000001</v>
      </c>
      <c r="E156" s="49"/>
      <c r="F156" s="50">
        <f>F155*1.04</f>
        <v>80837.12000000001</v>
      </c>
      <c r="G156" s="50"/>
      <c r="H156" s="50"/>
    </row>
    <row r="157" spans="1:16" ht="16.5" thickBot="1" x14ac:dyDescent="0.3">
      <c r="A157" s="84" t="s">
        <v>16</v>
      </c>
      <c r="B157" s="85"/>
      <c r="C157" s="9"/>
      <c r="D157" s="45">
        <f>SUM(D151:D156)</f>
        <v>438709.42</v>
      </c>
      <c r="E157" s="45">
        <f>SUM(E151:E156)</f>
        <v>651.4</v>
      </c>
      <c r="F157" s="45">
        <f>SUM(F151:F156)</f>
        <v>438058.02</v>
      </c>
      <c r="G157" s="50"/>
      <c r="H157" s="50"/>
    </row>
    <row r="158" spans="1:16" ht="16.5" customHeight="1" thickBot="1" x14ac:dyDescent="0.3">
      <c r="A158" s="90" t="s">
        <v>42</v>
      </c>
      <c r="B158" s="90" t="s">
        <v>40</v>
      </c>
      <c r="C158" s="9">
        <v>2019</v>
      </c>
      <c r="D158" s="48">
        <v>5034</v>
      </c>
      <c r="E158" s="49">
        <v>1853.3</v>
      </c>
      <c r="F158" s="50">
        <v>3180.7</v>
      </c>
      <c r="G158" s="50"/>
      <c r="H158" s="50"/>
    </row>
    <row r="159" spans="1:16" ht="16.5" customHeight="1" thickBot="1" x14ac:dyDescent="0.3">
      <c r="A159" s="91"/>
      <c r="B159" s="91"/>
      <c r="C159" s="9">
        <v>2020</v>
      </c>
      <c r="D159" s="48">
        <f>SUM(E159:H159)</f>
        <v>11217.1</v>
      </c>
      <c r="E159" s="49"/>
      <c r="F159" s="50">
        <f>11242.4-25.3</f>
        <v>11217.1</v>
      </c>
      <c r="G159" s="50"/>
      <c r="H159" s="50"/>
      <c r="J159" s="18"/>
    </row>
    <row r="160" spans="1:16" ht="16.5" customHeight="1" thickBot="1" x14ac:dyDescent="0.3">
      <c r="A160" s="91"/>
      <c r="B160" s="91"/>
      <c r="C160" s="9">
        <v>2021</v>
      </c>
      <c r="D160" s="48">
        <f>SUM(E160:H160)</f>
        <v>2789.8</v>
      </c>
      <c r="E160" s="49"/>
      <c r="F160" s="50">
        <f>4007.5-1134.7-83</f>
        <v>2789.8</v>
      </c>
      <c r="G160" s="50"/>
      <c r="H160" s="50"/>
      <c r="M160" s="18">
        <f>4007.5-F160</f>
        <v>1217.6999999999998</v>
      </c>
      <c r="N160" s="4" t="s">
        <v>75</v>
      </c>
    </row>
    <row r="161" spans="1:14" ht="16.5" customHeight="1" thickBot="1" x14ac:dyDescent="0.3">
      <c r="A161" s="91"/>
      <c r="B161" s="91"/>
      <c r="C161" s="9">
        <v>2022</v>
      </c>
      <c r="D161" s="48">
        <f t="shared" ref="D161:D163" si="31">SUM(E161:H161)</f>
        <v>4613.6000000000004</v>
      </c>
      <c r="E161" s="49"/>
      <c r="F161" s="50">
        <v>4613.6000000000004</v>
      </c>
      <c r="G161" s="50"/>
      <c r="H161" s="50"/>
    </row>
    <row r="162" spans="1:14" ht="16.5" customHeight="1" thickBot="1" x14ac:dyDescent="0.3">
      <c r="A162" s="91"/>
      <c r="B162" s="91"/>
      <c r="C162" s="9">
        <v>2023</v>
      </c>
      <c r="D162" s="48">
        <f t="shared" si="31"/>
        <v>4771.1000000000004</v>
      </c>
      <c r="E162" s="49"/>
      <c r="F162" s="50">
        <v>4771.1000000000004</v>
      </c>
      <c r="G162" s="50"/>
      <c r="H162" s="50"/>
    </row>
    <row r="163" spans="1:14" ht="16.5" customHeight="1" thickBot="1" x14ac:dyDescent="0.3">
      <c r="A163" s="92"/>
      <c r="B163" s="93"/>
      <c r="C163" s="9">
        <v>2024</v>
      </c>
      <c r="D163" s="48">
        <f t="shared" si="31"/>
        <v>4962.0440000000008</v>
      </c>
      <c r="E163" s="59"/>
      <c r="F163" s="50">
        <f>F162*1.04+0.1</f>
        <v>4962.0440000000008</v>
      </c>
      <c r="G163" s="53"/>
      <c r="H163" s="50"/>
    </row>
    <row r="164" spans="1:14" ht="16.5" thickBot="1" x14ac:dyDescent="0.3">
      <c r="A164" s="84" t="s">
        <v>16</v>
      </c>
      <c r="B164" s="89"/>
      <c r="C164" s="9"/>
      <c r="D164" s="48">
        <f>SUM(D158:D163)</f>
        <v>33387.644</v>
      </c>
      <c r="E164" s="45">
        <f t="shared" ref="E164:F164" si="32">SUM(E158:E163)</f>
        <v>1853.3</v>
      </c>
      <c r="F164" s="45">
        <f t="shared" si="32"/>
        <v>31534.343999999997</v>
      </c>
      <c r="G164" s="50"/>
      <c r="H164" s="50"/>
    </row>
    <row r="165" spans="1:14" ht="16.5" thickBot="1" x14ac:dyDescent="0.3">
      <c r="A165" s="86" t="s">
        <v>43</v>
      </c>
      <c r="B165" s="86" t="s">
        <v>44</v>
      </c>
      <c r="C165" s="9">
        <v>2019</v>
      </c>
      <c r="D165" s="52">
        <f>SUM(D172+D179+D186)</f>
        <v>104175.20000000001</v>
      </c>
      <c r="E165" s="45">
        <f>SUM(E172+E179+E186)</f>
        <v>5369</v>
      </c>
      <c r="F165" s="53">
        <f t="shared" ref="F165" si="33">SUM(F172+F179+F186)</f>
        <v>98806.200000000012</v>
      </c>
      <c r="G165" s="50"/>
      <c r="H165" s="50"/>
    </row>
    <row r="166" spans="1:14" ht="16.5" thickBot="1" x14ac:dyDescent="0.3">
      <c r="A166" s="87"/>
      <c r="B166" s="87"/>
      <c r="C166" s="9">
        <v>2020</v>
      </c>
      <c r="D166" s="48">
        <f>SUM(E166:F166)</f>
        <v>102298.6</v>
      </c>
      <c r="E166" s="45">
        <f>SUM(E173+E180+E187)</f>
        <v>5578.4</v>
      </c>
      <c r="F166" s="50">
        <f>SUM(F173+F180+F187)-0.1</f>
        <v>96720.200000000012</v>
      </c>
      <c r="G166" s="50"/>
      <c r="H166" s="50"/>
    </row>
    <row r="167" spans="1:14" ht="16.5" thickBot="1" x14ac:dyDescent="0.3">
      <c r="A167" s="87"/>
      <c r="B167" s="87"/>
      <c r="C167" s="9">
        <v>2021</v>
      </c>
      <c r="D167" s="48">
        <f>SUM(E167:F167)</f>
        <v>103387.9</v>
      </c>
      <c r="E167" s="45">
        <f t="shared" ref="E167:E169" si="34">SUM(E174+E181+E188)</f>
        <v>6301.2000000000007</v>
      </c>
      <c r="F167" s="50">
        <f>SUM(F174+F181+F188)</f>
        <v>97086.7</v>
      </c>
      <c r="G167" s="50"/>
      <c r="H167" s="50"/>
      <c r="J167" s="18">
        <f>F167-98001.2</f>
        <v>-914.5</v>
      </c>
      <c r="M167" s="18">
        <f>102158.7-F167</f>
        <v>5072</v>
      </c>
      <c r="N167" s="4" t="s">
        <v>65</v>
      </c>
    </row>
    <row r="168" spans="1:14" ht="16.5" thickBot="1" x14ac:dyDescent="0.3">
      <c r="A168" s="87"/>
      <c r="B168" s="87"/>
      <c r="C168" s="9">
        <v>2022</v>
      </c>
      <c r="D168" s="48">
        <f t="shared" ref="D168:D170" si="35">SUM(E168:F168)</f>
        <v>109579.29999999999</v>
      </c>
      <c r="E168" s="45">
        <f t="shared" si="34"/>
        <v>6417.4</v>
      </c>
      <c r="F168" s="50">
        <f>SUM(F175+F182+F189)</f>
        <v>103161.9</v>
      </c>
      <c r="G168" s="50"/>
      <c r="H168" s="50"/>
    </row>
    <row r="169" spans="1:14" ht="16.5" thickBot="1" x14ac:dyDescent="0.3">
      <c r="A169" s="87"/>
      <c r="B169" s="87"/>
      <c r="C169" s="9">
        <v>2023</v>
      </c>
      <c r="D169" s="48">
        <f t="shared" si="35"/>
        <v>113457.5</v>
      </c>
      <c r="E169" s="45">
        <f t="shared" si="34"/>
        <v>6319</v>
      </c>
      <c r="F169" s="50">
        <f>SUM(F176+F183+F190)</f>
        <v>107138.5</v>
      </c>
      <c r="G169" s="50"/>
      <c r="H169" s="50"/>
    </row>
    <row r="170" spans="1:14" ht="16.5" thickBot="1" x14ac:dyDescent="0.3">
      <c r="A170" s="88"/>
      <c r="B170" s="88"/>
      <c r="C170" s="9">
        <v>2024</v>
      </c>
      <c r="D170" s="48">
        <f t="shared" si="35"/>
        <v>111424.04000000001</v>
      </c>
      <c r="E170" s="49"/>
      <c r="F170" s="50">
        <f>SUM(F177+F184+F191)</f>
        <v>111424.04000000001</v>
      </c>
      <c r="G170" s="50"/>
      <c r="H170" s="50"/>
    </row>
    <row r="171" spans="1:14" ht="16.5" thickBot="1" x14ac:dyDescent="0.3">
      <c r="A171" s="84" t="s">
        <v>16</v>
      </c>
      <c r="B171" s="85"/>
      <c r="C171" s="9"/>
      <c r="D171" s="45">
        <f>SUM(D165:D170)</f>
        <v>644322.54</v>
      </c>
      <c r="E171" s="45">
        <f>SUM(E165:E170)</f>
        <v>29985</v>
      </c>
      <c r="F171" s="45">
        <f>SUM(F165:F170)</f>
        <v>614337.54</v>
      </c>
      <c r="G171" s="50"/>
      <c r="H171" s="50"/>
      <c r="I171" s="18">
        <f>D171-636643.6</f>
        <v>7678.9400000000605</v>
      </c>
    </row>
    <row r="172" spans="1:14" ht="16.5" thickBot="1" x14ac:dyDescent="0.3">
      <c r="A172" s="86" t="s">
        <v>45</v>
      </c>
      <c r="B172" s="86" t="s">
        <v>44</v>
      </c>
      <c r="C172" s="9">
        <v>2019</v>
      </c>
      <c r="D172" s="48">
        <f>SUM(E172:H172)</f>
        <v>64453.2</v>
      </c>
      <c r="E172" s="49"/>
      <c r="F172" s="50">
        <f>64453.2</f>
        <v>64453.2</v>
      </c>
      <c r="G172" s="50"/>
      <c r="H172" s="50"/>
    </row>
    <row r="173" spans="1:14" ht="16.5" thickBot="1" x14ac:dyDescent="0.3">
      <c r="A173" s="87"/>
      <c r="B173" s="87"/>
      <c r="C173" s="9">
        <v>2020</v>
      </c>
      <c r="D173" s="48">
        <f>SUM(E173:H173)</f>
        <v>67219.3</v>
      </c>
      <c r="E173" s="49"/>
      <c r="F173" s="50">
        <f>68103.1-883.8</f>
        <v>67219.3</v>
      </c>
      <c r="G173" s="50"/>
      <c r="H173" s="50"/>
      <c r="J173" s="18"/>
    </row>
    <row r="174" spans="1:14" ht="16.5" thickBot="1" x14ac:dyDescent="0.3">
      <c r="A174" s="87"/>
      <c r="B174" s="87"/>
      <c r="C174" s="9">
        <v>2021</v>
      </c>
      <c r="D174" s="48">
        <f>SUM(E174:H174)</f>
        <v>68246.8</v>
      </c>
      <c r="E174" s="49"/>
      <c r="F174" s="50">
        <f>69674.6-1427.8</f>
        <v>68246.8</v>
      </c>
      <c r="G174" s="50"/>
      <c r="H174" s="50"/>
      <c r="J174" s="18">
        <f>F174-69107.1</f>
        <v>-860.30000000000291</v>
      </c>
      <c r="M174" s="18">
        <f>69674.6-F174</f>
        <v>1427.8000000000029</v>
      </c>
      <c r="N174" s="4" t="s">
        <v>65</v>
      </c>
    </row>
    <row r="175" spans="1:14" ht="16.5" thickBot="1" x14ac:dyDescent="0.3">
      <c r="A175" s="87"/>
      <c r="B175" s="87"/>
      <c r="C175" s="9">
        <v>2022</v>
      </c>
      <c r="D175" s="48">
        <f>SUM(E175:H175)</f>
        <v>72766</v>
      </c>
      <c r="E175" s="49"/>
      <c r="F175" s="50">
        <f>72765.9+0.1</f>
        <v>72766</v>
      </c>
      <c r="G175" s="50"/>
      <c r="H175" s="50"/>
    </row>
    <row r="176" spans="1:14" ht="16.5" thickBot="1" x14ac:dyDescent="0.3">
      <c r="A176" s="87"/>
      <c r="B176" s="87"/>
      <c r="C176" s="9">
        <v>2023</v>
      </c>
      <c r="D176" s="48">
        <f t="shared" ref="D176:D177" si="36">SUM(E176:H176)</f>
        <v>75866.2</v>
      </c>
      <c r="E176" s="49"/>
      <c r="F176" s="50">
        <v>75866.2</v>
      </c>
      <c r="G176" s="50"/>
      <c r="H176" s="50"/>
    </row>
    <row r="177" spans="1:14" ht="16.5" thickBot="1" x14ac:dyDescent="0.3">
      <c r="A177" s="88"/>
      <c r="B177" s="88"/>
      <c r="C177" s="9">
        <v>2024</v>
      </c>
      <c r="D177" s="48">
        <f t="shared" si="36"/>
        <v>78900.847999999998</v>
      </c>
      <c r="E177" s="49"/>
      <c r="F177" s="50">
        <f>F176*1.04</f>
        <v>78900.847999999998</v>
      </c>
      <c r="G177" s="50"/>
      <c r="H177" s="50"/>
    </row>
    <row r="178" spans="1:14" ht="16.5" thickBot="1" x14ac:dyDescent="0.3">
      <c r="A178" s="84" t="s">
        <v>16</v>
      </c>
      <c r="B178" s="85"/>
      <c r="C178" s="9"/>
      <c r="D178" s="48">
        <f>SUM(D172:D177)</f>
        <v>427452.348</v>
      </c>
      <c r="E178" s="45"/>
      <c r="F178" s="45">
        <f>SUM(F172:F177)</f>
        <v>427452.348</v>
      </c>
      <c r="G178" s="50"/>
      <c r="H178" s="50"/>
    </row>
    <row r="179" spans="1:14" ht="16.5" thickBot="1" x14ac:dyDescent="0.3">
      <c r="A179" s="86" t="s">
        <v>46</v>
      </c>
      <c r="B179" s="86" t="s">
        <v>44</v>
      </c>
      <c r="C179" s="9">
        <v>2019</v>
      </c>
      <c r="D179" s="48">
        <f>SUM(E179:F179)</f>
        <v>3311.1</v>
      </c>
      <c r="E179" s="49">
        <v>1702</v>
      </c>
      <c r="F179" s="50">
        <f>1747.1-138</f>
        <v>1609.1</v>
      </c>
      <c r="G179" s="50"/>
      <c r="H179" s="50"/>
    </row>
    <row r="180" spans="1:14" ht="16.5" thickBot="1" x14ac:dyDescent="0.3">
      <c r="A180" s="87"/>
      <c r="B180" s="87"/>
      <c r="C180" s="9">
        <v>2020</v>
      </c>
      <c r="D180" s="48">
        <f>SUM(E180:F180)</f>
        <v>3968.5000000000005</v>
      </c>
      <c r="E180" s="49">
        <f>713.9-200</f>
        <v>513.9</v>
      </c>
      <c r="F180" s="50">
        <f>3857.8-403.2</f>
        <v>3454.6000000000004</v>
      </c>
      <c r="G180" s="50"/>
      <c r="H180" s="50"/>
    </row>
    <row r="181" spans="1:14" ht="16.5" thickBot="1" x14ac:dyDescent="0.3">
      <c r="A181" s="87"/>
      <c r="B181" s="87"/>
      <c r="C181" s="9">
        <v>2021</v>
      </c>
      <c r="D181" s="48">
        <f t="shared" ref="D181:D184" si="37">SUM(E181:F181)</f>
        <v>2466.7999999999997</v>
      </c>
      <c r="E181" s="49">
        <f>527.7-429.1</f>
        <v>98.600000000000023</v>
      </c>
      <c r="F181" s="50">
        <f>3061-200-492.8</f>
        <v>2368.1999999999998</v>
      </c>
      <c r="G181" s="50"/>
      <c r="H181" s="50"/>
      <c r="J181" s="18">
        <v>-100</v>
      </c>
      <c r="M181" s="18">
        <f>3061-F181</f>
        <v>692.80000000000018</v>
      </c>
      <c r="N181" s="4" t="s">
        <v>65</v>
      </c>
    </row>
    <row r="182" spans="1:14" ht="16.5" thickBot="1" x14ac:dyDescent="0.3">
      <c r="A182" s="87"/>
      <c r="B182" s="87"/>
      <c r="C182" s="9">
        <v>2022</v>
      </c>
      <c r="D182" s="48">
        <f t="shared" si="37"/>
        <v>4229.7</v>
      </c>
      <c r="E182" s="49">
        <v>527.70000000000005</v>
      </c>
      <c r="F182" s="50">
        <v>3702</v>
      </c>
      <c r="G182" s="50"/>
      <c r="H182" s="50"/>
      <c r="M182" s="18">
        <f>527.7-E181</f>
        <v>429.1</v>
      </c>
    </row>
    <row r="183" spans="1:14" ht="16.5" thickBot="1" x14ac:dyDescent="0.3">
      <c r="A183" s="87"/>
      <c r="B183" s="87"/>
      <c r="C183" s="9">
        <v>2023</v>
      </c>
      <c r="D183" s="48">
        <f t="shared" si="37"/>
        <v>4410.8999999999996</v>
      </c>
      <c r="E183" s="49">
        <v>474.9</v>
      </c>
      <c r="F183" s="50">
        <v>3936</v>
      </c>
      <c r="G183" s="50"/>
      <c r="H183" s="50"/>
    </row>
    <row r="184" spans="1:14" ht="16.5" thickBot="1" x14ac:dyDescent="0.3">
      <c r="A184" s="88"/>
      <c r="B184" s="88"/>
      <c r="C184" s="9">
        <v>2024</v>
      </c>
      <c r="D184" s="48">
        <f t="shared" si="37"/>
        <v>4093.44</v>
      </c>
      <c r="E184" s="49"/>
      <c r="F184" s="50">
        <f>F183*1.04</f>
        <v>4093.44</v>
      </c>
      <c r="G184" s="50"/>
      <c r="H184" s="50"/>
    </row>
    <row r="185" spans="1:14" ht="16.5" thickBot="1" x14ac:dyDescent="0.3">
      <c r="A185" s="84" t="s">
        <v>16</v>
      </c>
      <c r="B185" s="85"/>
      <c r="C185" s="9"/>
      <c r="D185" s="45">
        <f>SUM(D179:D184)</f>
        <v>22480.44</v>
      </c>
      <c r="E185" s="45">
        <f>SUM(E179:E184)</f>
        <v>3317.1</v>
      </c>
      <c r="F185" s="45">
        <f>SUM(F179:F184)</f>
        <v>19163.34</v>
      </c>
      <c r="G185" s="50"/>
      <c r="H185" s="50"/>
    </row>
    <row r="186" spans="1:14" ht="16.5" thickBot="1" x14ac:dyDescent="0.3">
      <c r="A186" s="86" t="s">
        <v>47</v>
      </c>
      <c r="B186" s="86" t="s">
        <v>44</v>
      </c>
      <c r="C186" s="9">
        <v>2019</v>
      </c>
      <c r="D186" s="48">
        <f>SUM(E186:F186)</f>
        <v>36410.9</v>
      </c>
      <c r="E186" s="49">
        <v>3667</v>
      </c>
      <c r="F186" s="50">
        <f>32605.9+138</f>
        <v>32743.9</v>
      </c>
      <c r="G186" s="50"/>
      <c r="H186" s="50"/>
    </row>
    <row r="187" spans="1:14" ht="16.5" thickBot="1" x14ac:dyDescent="0.3">
      <c r="A187" s="87"/>
      <c r="B187" s="87"/>
      <c r="C187" s="9">
        <v>2020</v>
      </c>
      <c r="D187" s="48">
        <f t="shared" ref="D187:D191" si="38">SUM(E187:F187)</f>
        <v>31110.9</v>
      </c>
      <c r="E187" s="49">
        <f>4864.5+200</f>
        <v>5064.5</v>
      </c>
      <c r="F187" s="50">
        <f>24759.4+1287</f>
        <v>26046.400000000001</v>
      </c>
      <c r="G187" s="50"/>
      <c r="H187" s="50"/>
    </row>
    <row r="188" spans="1:14" ht="16.5" thickBot="1" x14ac:dyDescent="0.3">
      <c r="A188" s="87"/>
      <c r="B188" s="87"/>
      <c r="C188" s="9">
        <v>2021</v>
      </c>
      <c r="D188" s="48">
        <f t="shared" si="38"/>
        <v>32674.299999999996</v>
      </c>
      <c r="E188" s="49">
        <f>5773.5+429.1</f>
        <v>6202.6</v>
      </c>
      <c r="F188" s="50">
        <f>29423.1-1689.9-1261.5</f>
        <v>26471.699999999997</v>
      </c>
      <c r="G188" s="50"/>
      <c r="H188" s="50"/>
      <c r="J188" s="18">
        <f>F188-25733.1</f>
        <v>738.59999999999854</v>
      </c>
      <c r="M188" s="18">
        <f>29423.1-F188</f>
        <v>2951.4000000000015</v>
      </c>
      <c r="N188" s="4" t="s">
        <v>65</v>
      </c>
    </row>
    <row r="189" spans="1:14" ht="16.5" thickBot="1" x14ac:dyDescent="0.3">
      <c r="A189" s="87"/>
      <c r="B189" s="87"/>
      <c r="C189" s="9">
        <v>2022</v>
      </c>
      <c r="D189" s="48">
        <f t="shared" si="38"/>
        <v>32583.600000000002</v>
      </c>
      <c r="E189" s="49">
        <v>5889.7</v>
      </c>
      <c r="F189" s="50">
        <v>26693.9</v>
      </c>
      <c r="G189" s="50"/>
      <c r="H189" s="50"/>
      <c r="M189" s="18">
        <f>5773.5-E188</f>
        <v>-429.10000000000036</v>
      </c>
    </row>
    <row r="190" spans="1:14" ht="16.5" thickBot="1" x14ac:dyDescent="0.3">
      <c r="A190" s="87"/>
      <c r="B190" s="87"/>
      <c r="C190" s="9">
        <v>2023</v>
      </c>
      <c r="D190" s="48">
        <f t="shared" si="38"/>
        <v>33180.400000000001</v>
      </c>
      <c r="E190" s="49">
        <v>5844.1</v>
      </c>
      <c r="F190" s="50">
        <v>27336.3</v>
      </c>
      <c r="G190" s="50"/>
      <c r="H190" s="50"/>
    </row>
    <row r="191" spans="1:14" ht="16.5" thickBot="1" x14ac:dyDescent="0.3">
      <c r="A191" s="88"/>
      <c r="B191" s="88"/>
      <c r="C191" s="9">
        <v>2024</v>
      </c>
      <c r="D191" s="48">
        <f t="shared" si="38"/>
        <v>28429.752</v>
      </c>
      <c r="E191" s="49"/>
      <c r="F191" s="50">
        <f>F190*1.04</f>
        <v>28429.752</v>
      </c>
      <c r="G191" s="50"/>
      <c r="H191" s="50"/>
    </row>
    <row r="192" spans="1:14" ht="16.5" thickBot="1" x14ac:dyDescent="0.3">
      <c r="A192" s="84" t="s">
        <v>16</v>
      </c>
      <c r="B192" s="85"/>
      <c r="C192" s="9"/>
      <c r="D192" s="48">
        <f>SUM(D186:D191)</f>
        <v>194389.85200000001</v>
      </c>
      <c r="E192" s="45">
        <f t="shared" ref="E192:F192" si="39">SUM(E186:E191)</f>
        <v>26667.9</v>
      </c>
      <c r="F192" s="45">
        <f t="shared" si="39"/>
        <v>167721.95199999999</v>
      </c>
      <c r="G192" s="50"/>
      <c r="H192" s="50"/>
    </row>
    <row r="193" spans="1:14" ht="16.5" customHeight="1" thickBot="1" x14ac:dyDescent="0.3">
      <c r="A193" s="86" t="s">
        <v>48</v>
      </c>
      <c r="B193" s="86" t="s">
        <v>53</v>
      </c>
      <c r="C193" s="9">
        <v>2019</v>
      </c>
      <c r="D193" s="48">
        <f t="shared" ref="D193:D198" si="40">SUM(E193:H193)</f>
        <v>368858.19999999995</v>
      </c>
      <c r="E193" s="49"/>
      <c r="F193" s="50">
        <f>F200+F207+F216</f>
        <v>200142</v>
      </c>
      <c r="G193" s="50">
        <f>G207</f>
        <v>8722.4</v>
      </c>
      <c r="H193" s="50">
        <f>H200+H207+H223</f>
        <v>159993.79999999999</v>
      </c>
      <c r="K193" s="4" t="s">
        <v>60</v>
      </c>
    </row>
    <row r="194" spans="1:14" ht="16.5" thickBot="1" x14ac:dyDescent="0.3">
      <c r="A194" s="87"/>
      <c r="B194" s="87"/>
      <c r="C194" s="9">
        <v>2020</v>
      </c>
      <c r="D194" s="48">
        <f t="shared" si="40"/>
        <v>648075.99103999999</v>
      </c>
      <c r="E194" s="49">
        <f>E220</f>
        <v>175261.9</v>
      </c>
      <c r="F194" s="50">
        <f>F201+F208+F217</f>
        <v>451990.19104000001</v>
      </c>
      <c r="G194" s="50">
        <f>G208+G201</f>
        <v>13726.4</v>
      </c>
      <c r="H194" s="50">
        <f>H201+H208+H224</f>
        <v>7097.5</v>
      </c>
      <c r="J194" s="18"/>
    </row>
    <row r="195" spans="1:14" ht="16.5" thickBot="1" x14ac:dyDescent="0.3">
      <c r="A195" s="87"/>
      <c r="B195" s="87"/>
      <c r="C195" s="9">
        <v>2021</v>
      </c>
      <c r="D195" s="48">
        <f>SUM(E195:H195)</f>
        <v>598015</v>
      </c>
      <c r="E195" s="49">
        <f>E202+E209+E218+E221</f>
        <v>53542.999999999993</v>
      </c>
      <c r="F195" s="50">
        <f>F202+F209+F218+F221</f>
        <v>428093.2</v>
      </c>
      <c r="G195" s="50">
        <f>G202+G209+G218+G221</f>
        <v>16165.9</v>
      </c>
      <c r="H195" s="50">
        <f>H202+H209+H218+H221+H225</f>
        <v>100212.9</v>
      </c>
      <c r="I195" s="18">
        <f>F195-435386</f>
        <v>-7292.7999999999884</v>
      </c>
      <c r="M195" s="18">
        <f>460401.3-F195</f>
        <v>32308.099999999977</v>
      </c>
      <c r="N195" s="18" t="s">
        <v>77</v>
      </c>
    </row>
    <row r="196" spans="1:14" ht="16.5" thickBot="1" x14ac:dyDescent="0.3">
      <c r="A196" s="87"/>
      <c r="B196" s="87"/>
      <c r="C196" s="9">
        <v>2022</v>
      </c>
      <c r="D196" s="48">
        <f>SUM(E196:H196)</f>
        <v>1635863.7</v>
      </c>
      <c r="E196" s="49"/>
      <c r="F196" s="50">
        <f>F203+F210</f>
        <v>298963</v>
      </c>
      <c r="G196" s="50">
        <f t="shared" ref="G196" si="41">G210+G203</f>
        <v>13366.2</v>
      </c>
      <c r="H196" s="50">
        <f>H203+H210+H226</f>
        <v>1323534.5</v>
      </c>
      <c r="J196" s="18"/>
      <c r="M196" s="18">
        <f>63984.7-E195</f>
        <v>10441.700000000004</v>
      </c>
      <c r="N196" s="4" t="s">
        <v>78</v>
      </c>
    </row>
    <row r="197" spans="1:14" ht="16.5" thickBot="1" x14ac:dyDescent="0.3">
      <c r="A197" s="87"/>
      <c r="B197" s="87"/>
      <c r="C197" s="9">
        <v>2023</v>
      </c>
      <c r="D197" s="48">
        <f t="shared" si="40"/>
        <v>3559059.2</v>
      </c>
      <c r="E197" s="49"/>
      <c r="F197" s="50">
        <f>F204+F211</f>
        <v>300080</v>
      </c>
      <c r="G197" s="50">
        <f>G211+G204</f>
        <v>13367.2</v>
      </c>
      <c r="H197" s="50">
        <f>H204+H211+H227</f>
        <v>3245612</v>
      </c>
    </row>
    <row r="198" spans="1:14" ht="16.5" thickBot="1" x14ac:dyDescent="0.3">
      <c r="A198" s="88"/>
      <c r="B198" s="88"/>
      <c r="C198" s="9">
        <v>2024</v>
      </c>
      <c r="D198" s="48">
        <f t="shared" si="40"/>
        <v>3175785</v>
      </c>
      <c r="E198" s="49"/>
      <c r="F198" s="50">
        <f>F205+F212</f>
        <v>312083.20000000001</v>
      </c>
      <c r="G198" s="50">
        <f>G212+G205</f>
        <v>13701.8</v>
      </c>
      <c r="H198" s="50">
        <f>H212</f>
        <v>2850000</v>
      </c>
    </row>
    <row r="199" spans="1:14" ht="16.5" thickBot="1" x14ac:dyDescent="0.3">
      <c r="A199" s="84" t="s">
        <v>16</v>
      </c>
      <c r="B199" s="85"/>
      <c r="C199" s="9"/>
      <c r="D199" s="48">
        <f>SUM(D193:D198)</f>
        <v>9985657.0910400003</v>
      </c>
      <c r="E199" s="54">
        <f>SUM(E193:E198)</f>
        <v>228804.9</v>
      </c>
      <c r="F199" s="54">
        <f>SUM(F193:F198)</f>
        <v>1991351.5910399999</v>
      </c>
      <c r="G199" s="54">
        <f>SUM(G193:G198)</f>
        <v>79049.899999999994</v>
      </c>
      <c r="H199" s="49">
        <f>SUM(H193:H198)</f>
        <v>7686450.7000000002</v>
      </c>
      <c r="I199" s="18">
        <f>D199-8740125</f>
        <v>1245532.0910400003</v>
      </c>
      <c r="M199" s="18">
        <f>4845742.9-H199</f>
        <v>-2840707.8</v>
      </c>
    </row>
    <row r="200" spans="1:14" ht="16.5" customHeight="1" thickBot="1" x14ac:dyDescent="0.3">
      <c r="A200" s="86" t="s">
        <v>49</v>
      </c>
      <c r="B200" s="86" t="s">
        <v>53</v>
      </c>
      <c r="C200" s="9">
        <v>2019</v>
      </c>
      <c r="D200" s="48">
        <f>E200+F200+G200+H200</f>
        <v>25623</v>
      </c>
      <c r="E200" s="49"/>
      <c r="F200" s="50">
        <v>25623</v>
      </c>
      <c r="G200" s="51"/>
      <c r="H200" s="50"/>
    </row>
    <row r="201" spans="1:14" ht="16.5" thickBot="1" x14ac:dyDescent="0.3">
      <c r="A201" s="87"/>
      <c r="B201" s="87"/>
      <c r="C201" s="9">
        <v>2020</v>
      </c>
      <c r="D201" s="48">
        <f>E201+F201+G201+H201</f>
        <v>131509.49103999999</v>
      </c>
      <c r="E201" s="49"/>
      <c r="F201" s="60">
        <f>18259.406+8250.08504+100000</f>
        <v>126509.49103999999</v>
      </c>
      <c r="G201" s="45">
        <v>5000</v>
      </c>
      <c r="H201" s="50"/>
    </row>
    <row r="202" spans="1:14" ht="16.5" thickBot="1" x14ac:dyDescent="0.3">
      <c r="A202" s="87"/>
      <c r="B202" s="87"/>
      <c r="C202" s="9">
        <v>2021</v>
      </c>
      <c r="D202" s="48">
        <f t="shared" ref="D202:D206" si="42">E202+F202+G202+H202</f>
        <v>131212.5</v>
      </c>
      <c r="E202" s="49"/>
      <c r="F202" s="52">
        <f>127243.2-1030.7</f>
        <v>126212.5</v>
      </c>
      <c r="G202" s="45">
        <v>5000</v>
      </c>
      <c r="H202" s="50"/>
      <c r="M202" s="18">
        <f>127243.2-F202</f>
        <v>1030.6999999999971</v>
      </c>
      <c r="N202" s="4" t="s">
        <v>65</v>
      </c>
    </row>
    <row r="203" spans="1:14" ht="16.5" thickBot="1" x14ac:dyDescent="0.3">
      <c r="A203" s="87"/>
      <c r="B203" s="87"/>
      <c r="C203" s="9">
        <v>2022</v>
      </c>
      <c r="D203" s="48">
        <f t="shared" si="42"/>
        <v>133373.20000000001</v>
      </c>
      <c r="E203" s="49"/>
      <c r="F203" s="54">
        <v>128374.2</v>
      </c>
      <c r="G203" s="45">
        <v>4999</v>
      </c>
      <c r="H203" s="50"/>
    </row>
    <row r="204" spans="1:14" ht="16.5" thickBot="1" x14ac:dyDescent="0.3">
      <c r="A204" s="87"/>
      <c r="B204" s="87"/>
      <c r="C204" s="9">
        <v>2023</v>
      </c>
      <c r="D204" s="48">
        <f>E204+F204+G204+H204</f>
        <v>134361.4</v>
      </c>
      <c r="E204" s="49"/>
      <c r="F204" s="50">
        <v>129361.4</v>
      </c>
      <c r="G204" s="50">
        <v>5000</v>
      </c>
      <c r="H204" s="50"/>
    </row>
    <row r="205" spans="1:14" ht="16.5" thickBot="1" x14ac:dyDescent="0.3">
      <c r="A205" s="88"/>
      <c r="B205" s="88"/>
      <c r="C205" s="9">
        <v>2024</v>
      </c>
      <c r="D205" s="48">
        <f t="shared" si="42"/>
        <v>139535.856</v>
      </c>
      <c r="E205" s="49"/>
      <c r="F205" s="50">
        <f>F204*1.04</f>
        <v>134535.856</v>
      </c>
      <c r="G205" s="50">
        <v>5000</v>
      </c>
      <c r="H205" s="50"/>
    </row>
    <row r="206" spans="1:14" ht="16.5" thickBot="1" x14ac:dyDescent="0.3">
      <c r="A206" s="84" t="s">
        <v>16</v>
      </c>
      <c r="B206" s="85"/>
      <c r="C206" s="29"/>
      <c r="D206" s="48">
        <f t="shared" si="42"/>
        <v>695615.54703999998</v>
      </c>
      <c r="E206" s="61"/>
      <c r="F206" s="61">
        <f>SUM(F200:F205)+0.1</f>
        <v>670616.54703999998</v>
      </c>
      <c r="G206" s="61">
        <f>SUM(G200:G205)</f>
        <v>24999</v>
      </c>
      <c r="H206" s="62"/>
    </row>
    <row r="207" spans="1:14" ht="16.5" customHeight="1" thickBot="1" x14ac:dyDescent="0.3">
      <c r="A207" s="68" t="s">
        <v>50</v>
      </c>
      <c r="B207" s="71" t="s">
        <v>61</v>
      </c>
      <c r="C207" s="27">
        <v>2019</v>
      </c>
      <c r="D207" s="45">
        <f>E207+F207+G207+H207</f>
        <v>336635.19999999995</v>
      </c>
      <c r="E207" s="45"/>
      <c r="F207" s="45">
        <v>174519</v>
      </c>
      <c r="G207" s="45">
        <v>8722.4</v>
      </c>
      <c r="H207" s="45">
        <f>80801.8+72592</f>
        <v>153393.79999999999</v>
      </c>
    </row>
    <row r="208" spans="1:14" ht="16.5" customHeight="1" thickBot="1" x14ac:dyDescent="0.3">
      <c r="A208" s="69"/>
      <c r="B208" s="72"/>
      <c r="C208" s="27">
        <v>2020</v>
      </c>
      <c r="D208" s="45">
        <f t="shared" ref="D208:D211" si="43">E208+F208+G208+H208</f>
        <v>191423.9</v>
      </c>
      <c r="E208" s="45"/>
      <c r="F208" s="45">
        <f>174600+3000</f>
        <v>177600</v>
      </c>
      <c r="G208" s="45">
        <v>8726.4</v>
      </c>
      <c r="H208" s="55">
        <v>5097.5</v>
      </c>
    </row>
    <row r="209" spans="1:14" ht="16.5" customHeight="1" thickBot="1" x14ac:dyDescent="0.3">
      <c r="A209" s="69"/>
      <c r="B209" s="72"/>
      <c r="C209" s="27">
        <v>2021</v>
      </c>
      <c r="D209" s="45">
        <f t="shared" si="43"/>
        <v>353334.19999999995</v>
      </c>
      <c r="E209" s="45"/>
      <c r="F209" s="45">
        <f>266561.8-17568.2</f>
        <v>248993.59999999998</v>
      </c>
      <c r="G209" s="45">
        <f>12090.5-924.6</f>
        <v>11165.9</v>
      </c>
      <c r="H209" s="45">
        <f>246250-204714.5+51639.2</f>
        <v>93174.7</v>
      </c>
      <c r="I209" s="4">
        <v>89000</v>
      </c>
      <c r="J209" s="18">
        <v>3368.4</v>
      </c>
      <c r="K209" s="18">
        <v>-204714.5</v>
      </c>
      <c r="M209" s="18">
        <f>266561.8-F209</f>
        <v>17568.200000000012</v>
      </c>
      <c r="N209" s="4" t="s">
        <v>65</v>
      </c>
    </row>
    <row r="210" spans="1:14" ht="16.5" customHeight="1" thickBot="1" x14ac:dyDescent="0.3">
      <c r="A210" s="69"/>
      <c r="B210" s="72"/>
      <c r="C210" s="27">
        <v>2022</v>
      </c>
      <c r="D210" s="45">
        <f t="shared" si="43"/>
        <v>288956</v>
      </c>
      <c r="E210" s="45"/>
      <c r="F210" s="45">
        <v>170588.79999999999</v>
      </c>
      <c r="G210" s="45">
        <v>8367.2000000000007</v>
      </c>
      <c r="H210" s="55">
        <f>920000-689796-120204</f>
        <v>110000</v>
      </c>
      <c r="K210" s="4">
        <f>-(920000-230204)</f>
        <v>-689796</v>
      </c>
      <c r="M210" s="18">
        <f>41535.5-H209</f>
        <v>-51639.199999999997</v>
      </c>
    </row>
    <row r="211" spans="1:14" ht="16.5" customHeight="1" thickBot="1" x14ac:dyDescent="0.3">
      <c r="A211" s="69"/>
      <c r="B211" s="72"/>
      <c r="C211" s="27">
        <v>2023</v>
      </c>
      <c r="D211" s="45">
        <f t="shared" si="43"/>
        <v>1489085.8</v>
      </c>
      <c r="E211" s="45"/>
      <c r="F211" s="45">
        <v>170718.6</v>
      </c>
      <c r="G211" s="45">
        <v>8367.2000000000007</v>
      </c>
      <c r="H211" s="45">
        <f>2550000-2465000+1225000</f>
        <v>1310000</v>
      </c>
      <c r="K211" s="18">
        <f>-(2550000-85000)</f>
        <v>-2465000</v>
      </c>
      <c r="M211" s="18">
        <f>12090.5-G209</f>
        <v>924.60000000000036</v>
      </c>
    </row>
    <row r="212" spans="1:14" ht="16.5" customHeight="1" thickBot="1" x14ac:dyDescent="0.3">
      <c r="A212" s="70"/>
      <c r="B212" s="73"/>
      <c r="C212" s="46">
        <v>2024</v>
      </c>
      <c r="D212" s="45">
        <f>E212+F212+G212+H212</f>
        <v>3036249.1439999999</v>
      </c>
      <c r="E212" s="45"/>
      <c r="F212" s="45">
        <f>F211*1.04</f>
        <v>177547.34400000001</v>
      </c>
      <c r="G212" s="45">
        <v>8701.7999999999993</v>
      </c>
      <c r="H212" s="49">
        <f>1230000+1770000-150000</f>
        <v>2850000</v>
      </c>
      <c r="K212" s="18">
        <f>-(1230000-3000000)</f>
        <v>1770000</v>
      </c>
    </row>
    <row r="213" spans="1:14" ht="16.5" thickBot="1" x14ac:dyDescent="0.3">
      <c r="A213" s="74" t="s">
        <v>16</v>
      </c>
      <c r="B213" s="75"/>
      <c r="C213" s="30"/>
      <c r="D213" s="45">
        <f>SUM(D207:D212)</f>
        <v>5695684.243999999</v>
      </c>
      <c r="E213" s="45"/>
      <c r="F213" s="45">
        <f t="shared" ref="F213:H213" si="44">SUM(F207:F212)</f>
        <v>1119967.3439999998</v>
      </c>
      <c r="G213" s="45">
        <f>SUM(G207:G212)</f>
        <v>54050.899999999994</v>
      </c>
      <c r="H213" s="45">
        <f t="shared" si="44"/>
        <v>4521666</v>
      </c>
      <c r="K213" s="18">
        <f>SUM(K209:K212)</f>
        <v>-1589510.5</v>
      </c>
      <c r="L213" s="18"/>
      <c r="M213" s="18">
        <f>3515230.8-H213</f>
        <v>-1006435.2000000002</v>
      </c>
    </row>
    <row r="214" spans="1:14" ht="78" customHeight="1" thickBot="1" x14ac:dyDescent="0.3">
      <c r="A214" s="31" t="s">
        <v>62</v>
      </c>
      <c r="B214" s="32" t="s">
        <v>56</v>
      </c>
      <c r="C214" s="27">
        <v>2021</v>
      </c>
      <c r="D214" s="45">
        <f>SUM(E214:H214)</f>
        <v>25000</v>
      </c>
      <c r="E214" s="45"/>
      <c r="F214" s="62">
        <v>25000</v>
      </c>
      <c r="G214" s="45"/>
      <c r="H214" s="45"/>
    </row>
    <row r="215" spans="1:14" ht="16.5" thickBot="1" x14ac:dyDescent="0.3">
      <c r="A215" s="33" t="s">
        <v>16</v>
      </c>
      <c r="B215" s="34"/>
      <c r="C215" s="35"/>
      <c r="D215" s="45">
        <f>D214</f>
        <v>25000</v>
      </c>
      <c r="E215" s="45"/>
      <c r="F215" s="62">
        <f>F214</f>
        <v>25000</v>
      </c>
      <c r="G215" s="45"/>
      <c r="H215" s="45"/>
    </row>
    <row r="216" spans="1:14" ht="21" hidden="1" customHeight="1" thickBot="1" x14ac:dyDescent="0.3">
      <c r="A216" s="71" t="s">
        <v>51</v>
      </c>
      <c r="B216" s="71" t="s">
        <v>53</v>
      </c>
      <c r="C216" s="27">
        <v>2019</v>
      </c>
      <c r="D216" s="45"/>
      <c r="E216" s="45"/>
      <c r="F216" s="62"/>
      <c r="G216" s="45"/>
      <c r="H216" s="45"/>
    </row>
    <row r="217" spans="1:14" ht="29.25" customHeight="1" thickBot="1" x14ac:dyDescent="0.3">
      <c r="A217" s="72"/>
      <c r="B217" s="72"/>
      <c r="C217" s="27">
        <v>2020</v>
      </c>
      <c r="D217" s="45">
        <f>SUM(E217:H217)</f>
        <v>147880.70000000001</v>
      </c>
      <c r="E217" s="52"/>
      <c r="F217" s="45">
        <f>24291.5+100000+23589.2</f>
        <v>147880.70000000001</v>
      </c>
      <c r="G217" s="53"/>
      <c r="H217" s="45"/>
    </row>
    <row r="218" spans="1:14" ht="29.25" customHeight="1" thickBot="1" x14ac:dyDescent="0.3">
      <c r="A218" s="73"/>
      <c r="B218" s="73"/>
      <c r="C218" s="36">
        <v>2021</v>
      </c>
      <c r="D218" s="45">
        <f>SUM(E218:H218)</f>
        <v>98695.5</v>
      </c>
      <c r="E218" s="60">
        <f>63984.7-15623.9</f>
        <v>48360.799999999996</v>
      </c>
      <c r="F218" s="49">
        <f>66596.3-16261.6</f>
        <v>50334.700000000004</v>
      </c>
      <c r="G218" s="63"/>
      <c r="H218" s="62"/>
      <c r="J218" s="18">
        <f>F218-130581</f>
        <v>-80246.299999999988</v>
      </c>
      <c r="M218" s="18">
        <f>66596.3-F218</f>
        <v>16261.599999999999</v>
      </c>
      <c r="N218" s="4" t="s">
        <v>65</v>
      </c>
    </row>
    <row r="219" spans="1:14" ht="16.5" thickBot="1" x14ac:dyDescent="0.3">
      <c r="A219" s="76" t="s">
        <v>16</v>
      </c>
      <c r="B219" s="77"/>
      <c r="C219" s="37"/>
      <c r="D219" s="45">
        <f>SUM(D216:D218)</f>
        <v>246576.2</v>
      </c>
      <c r="E219" s="45">
        <f t="shared" ref="E219:F219" si="45">SUM(E216:E218)</f>
        <v>48360.799999999996</v>
      </c>
      <c r="F219" s="45">
        <f t="shared" si="45"/>
        <v>198215.40000000002</v>
      </c>
      <c r="G219" s="45"/>
      <c r="H219" s="45"/>
      <c r="M219" s="18">
        <f>63984.7-E218</f>
        <v>15623.900000000001</v>
      </c>
    </row>
    <row r="220" spans="1:14" s="39" customFormat="1" ht="86.25" customHeight="1" thickBot="1" x14ac:dyDescent="0.3">
      <c r="A220" s="78" t="s">
        <v>52</v>
      </c>
      <c r="B220" s="78" t="s">
        <v>53</v>
      </c>
      <c r="C220" s="38">
        <v>2020</v>
      </c>
      <c r="D220" s="45">
        <f>E220+F220+G220+H220</f>
        <v>175261.9</v>
      </c>
      <c r="E220" s="45">
        <v>175261.9</v>
      </c>
      <c r="F220" s="45"/>
      <c r="G220" s="45"/>
      <c r="H220" s="45"/>
    </row>
    <row r="221" spans="1:14" s="39" customFormat="1" ht="27.95" customHeight="1" thickBot="1" x14ac:dyDescent="0.3">
      <c r="A221" s="80"/>
      <c r="B221" s="80"/>
      <c r="C221" s="38">
        <v>2021</v>
      </c>
      <c r="D221" s="45">
        <f>E221+F221+G221+H221</f>
        <v>7734.6</v>
      </c>
      <c r="E221" s="45">
        <v>5182.2</v>
      </c>
      <c r="F221" s="45">
        <v>2552.4</v>
      </c>
      <c r="G221" s="45"/>
      <c r="H221" s="45"/>
      <c r="M221" s="42">
        <f>0-F221</f>
        <v>-2552.4</v>
      </c>
      <c r="N221" s="39" t="s">
        <v>65</v>
      </c>
    </row>
    <row r="222" spans="1:14" s="39" customFormat="1" ht="16.5" customHeight="1" thickBot="1" x14ac:dyDescent="0.3">
      <c r="A222" s="76" t="s">
        <v>16</v>
      </c>
      <c r="B222" s="77"/>
      <c r="C222" s="37"/>
      <c r="D222" s="45">
        <f>SUM(D220:D221)</f>
        <v>182996.5</v>
      </c>
      <c r="E222" s="45">
        <f>SUM(E220:E221)</f>
        <v>180444.1</v>
      </c>
      <c r="F222" s="45">
        <f>SUM(F220:F221)</f>
        <v>2552.4</v>
      </c>
      <c r="G222" s="45"/>
      <c r="H222" s="45"/>
      <c r="M222" s="42">
        <f>0-E221</f>
        <v>-5182.2</v>
      </c>
    </row>
    <row r="223" spans="1:14" ht="25.5" customHeight="1" thickBot="1" x14ac:dyDescent="0.3">
      <c r="A223" s="81" t="s">
        <v>79</v>
      </c>
      <c r="B223" s="78" t="s">
        <v>53</v>
      </c>
      <c r="C223" s="38">
        <v>2019</v>
      </c>
      <c r="D223" s="45">
        <f t="shared" ref="D223:D224" si="46">E223+F223+G223+H223</f>
        <v>6600</v>
      </c>
      <c r="E223" s="45"/>
      <c r="F223" s="45"/>
      <c r="G223" s="45"/>
      <c r="H223" s="45">
        <v>6600</v>
      </c>
    </row>
    <row r="224" spans="1:14" ht="25.5" customHeight="1" thickBot="1" x14ac:dyDescent="0.3">
      <c r="A224" s="82"/>
      <c r="B224" s="79"/>
      <c r="C224" s="38">
        <v>2020</v>
      </c>
      <c r="D224" s="45">
        <f t="shared" si="46"/>
        <v>2000</v>
      </c>
      <c r="E224" s="45"/>
      <c r="F224" s="45"/>
      <c r="G224" s="45"/>
      <c r="H224" s="45">
        <v>2000</v>
      </c>
    </row>
    <row r="225" spans="1:13" ht="25.5" customHeight="1" thickBot="1" x14ac:dyDescent="0.3">
      <c r="A225" s="82"/>
      <c r="B225" s="79"/>
      <c r="C225" s="40">
        <v>2021</v>
      </c>
      <c r="D225" s="49">
        <f>H225</f>
        <v>7038.2</v>
      </c>
      <c r="E225" s="49"/>
      <c r="F225" s="49"/>
      <c r="G225" s="49"/>
      <c r="H225" s="49">
        <v>7038.2</v>
      </c>
      <c r="K225" s="18">
        <f>-(1030000-150000)</f>
        <v>-880000</v>
      </c>
      <c r="M225" s="18">
        <f>150000-H225</f>
        <v>142961.79999999999</v>
      </c>
    </row>
    <row r="226" spans="1:13" ht="25.5" customHeight="1" thickBot="1" x14ac:dyDescent="0.3">
      <c r="A226" s="82"/>
      <c r="B226" s="79"/>
      <c r="C226" s="27">
        <v>2022</v>
      </c>
      <c r="D226" s="49">
        <f>H226</f>
        <v>1213534.5</v>
      </c>
      <c r="E226" s="48"/>
      <c r="F226" s="49"/>
      <c r="G226" s="49"/>
      <c r="H226" s="50">
        <v>1213534.5</v>
      </c>
      <c r="K226" s="4">
        <f>880000-291912</f>
        <v>588088</v>
      </c>
    </row>
    <row r="227" spans="1:13" ht="25.5" customHeight="1" thickBot="1" x14ac:dyDescent="0.3">
      <c r="A227" s="83"/>
      <c r="B227" s="80"/>
      <c r="C227" s="27">
        <v>2023</v>
      </c>
      <c r="D227" s="49">
        <f t="shared" ref="D227:D228" si="47">H227</f>
        <v>1935612</v>
      </c>
      <c r="E227" s="48"/>
      <c r="F227" s="49"/>
      <c r="G227" s="49"/>
      <c r="H227" s="50">
        <v>1935612</v>
      </c>
      <c r="K227" s="4">
        <v>291912.09999999998</v>
      </c>
    </row>
    <row r="228" spans="1:13" ht="16.5" thickBot="1" x14ac:dyDescent="0.3">
      <c r="A228" s="66" t="s">
        <v>16</v>
      </c>
      <c r="B228" s="67"/>
      <c r="C228" s="41"/>
      <c r="D228" s="49">
        <f t="shared" si="47"/>
        <v>3164784.7</v>
      </c>
      <c r="E228" s="48"/>
      <c r="F228" s="45"/>
      <c r="G228" s="45"/>
      <c r="H228" s="64">
        <f>SUM(H223:H227)</f>
        <v>3164784.7</v>
      </c>
      <c r="K228" s="18">
        <f>SUM(K225:K227)</f>
        <v>9.9999999976716936E-2</v>
      </c>
      <c r="M228" s="18">
        <f>1330512.1-H228</f>
        <v>-1834272.6</v>
      </c>
    </row>
    <row r="229" spans="1:13" hidden="1" x14ac:dyDescent="0.25">
      <c r="C229" s="4">
        <v>2019</v>
      </c>
      <c r="D229" s="42">
        <f>D216+D223</f>
        <v>6600</v>
      </c>
    </row>
    <row r="230" spans="1:13" hidden="1" x14ac:dyDescent="0.25">
      <c r="C230" s="4">
        <v>2020</v>
      </c>
      <c r="D230" s="43">
        <f>D217+D220+D224</f>
        <v>325142.59999999998</v>
      </c>
    </row>
    <row r="231" spans="1:13" hidden="1" x14ac:dyDescent="0.25">
      <c r="C231" s="4">
        <v>2021</v>
      </c>
      <c r="D231" s="43">
        <f>D218+D225</f>
        <v>105733.7</v>
      </c>
    </row>
    <row r="232" spans="1:13" hidden="1" x14ac:dyDescent="0.25">
      <c r="C232" s="4">
        <v>2022</v>
      </c>
      <c r="D232" s="43">
        <f>D226</f>
        <v>1213534.5</v>
      </c>
    </row>
    <row r="233" spans="1:13" hidden="1" x14ac:dyDescent="0.25">
      <c r="C233" s="4" t="s">
        <v>55</v>
      </c>
      <c r="D233" s="43">
        <f>D229+D230+D231+D232</f>
        <v>1651010.8</v>
      </c>
    </row>
    <row r="234" spans="1:13" hidden="1" x14ac:dyDescent="0.25">
      <c r="D234" s="43"/>
    </row>
    <row r="235" spans="1:13" hidden="1" x14ac:dyDescent="0.25">
      <c r="C235" s="4">
        <v>2019</v>
      </c>
      <c r="D235" s="42">
        <f>D62+D138+D229</f>
        <v>216003.90000000002</v>
      </c>
    </row>
    <row r="236" spans="1:13" hidden="1" x14ac:dyDescent="0.25">
      <c r="C236" s="4">
        <v>2020</v>
      </c>
      <c r="D236" s="42">
        <f>D63+D139+D230</f>
        <v>446977.19999999995</v>
      </c>
    </row>
    <row r="237" spans="1:13" hidden="1" x14ac:dyDescent="0.25">
      <c r="C237" s="4">
        <v>2021</v>
      </c>
      <c r="D237" s="42">
        <f>D64+D140+D231</f>
        <v>281410.3</v>
      </c>
    </row>
    <row r="238" spans="1:13" hidden="1" x14ac:dyDescent="0.25">
      <c r="C238" s="4">
        <v>2022</v>
      </c>
      <c r="D238" s="42">
        <f>D65+D141+D232</f>
        <v>1308002.8</v>
      </c>
    </row>
    <row r="239" spans="1:13" hidden="1" x14ac:dyDescent="0.25">
      <c r="C239" s="4">
        <v>2023</v>
      </c>
      <c r="D239" s="42">
        <f>D142</f>
        <v>117263.3</v>
      </c>
    </row>
    <row r="240" spans="1:13" hidden="1" x14ac:dyDescent="0.25">
      <c r="C240" s="4" t="s">
        <v>54</v>
      </c>
      <c r="D240" s="42">
        <f>D66+D143+D233</f>
        <v>2369657.5</v>
      </c>
    </row>
    <row r="241" spans="1:6" hidden="1" x14ac:dyDescent="0.25">
      <c r="D241" s="42">
        <f>SUM(D235:D239)</f>
        <v>2369657.5</v>
      </c>
    </row>
    <row r="242" spans="1:6" hidden="1" x14ac:dyDescent="0.25"/>
    <row r="243" spans="1:6" hidden="1" x14ac:dyDescent="0.25">
      <c r="B243" s="44" t="s">
        <v>57</v>
      </c>
      <c r="C243" s="4">
        <v>2019</v>
      </c>
      <c r="D243" s="42">
        <f>D216+D223</f>
        <v>6600</v>
      </c>
      <c r="E243" s="42">
        <f>D62+D138+D243</f>
        <v>216003.90000000002</v>
      </c>
    </row>
    <row r="244" spans="1:6" hidden="1" x14ac:dyDescent="0.25">
      <c r="C244" s="4">
        <v>2020</v>
      </c>
      <c r="D244" s="42">
        <f>D217+D220+D224</f>
        <v>325142.59999999998</v>
      </c>
      <c r="E244" s="42">
        <f>D63+D139+D244</f>
        <v>446977.19999999995</v>
      </c>
    </row>
    <row r="245" spans="1:6" hidden="1" x14ac:dyDescent="0.25">
      <c r="C245" s="4">
        <v>2021</v>
      </c>
      <c r="D245" s="42">
        <f>D218+D225</f>
        <v>105733.7</v>
      </c>
      <c r="E245" s="42">
        <f>D64+D140+D245</f>
        <v>281410.3</v>
      </c>
    </row>
    <row r="246" spans="1:6" hidden="1" x14ac:dyDescent="0.25">
      <c r="C246" s="4">
        <v>2022</v>
      </c>
      <c r="D246" s="42">
        <f>D226</f>
        <v>1213534.5</v>
      </c>
      <c r="E246" s="42">
        <f>D65+D141+D246</f>
        <v>1308002.8</v>
      </c>
    </row>
    <row r="247" spans="1:6" hidden="1" x14ac:dyDescent="0.25">
      <c r="C247" s="4">
        <v>2023</v>
      </c>
      <c r="D247" s="42">
        <f>D227</f>
        <v>1935612</v>
      </c>
      <c r="E247" s="42">
        <f>D142+D247</f>
        <v>2052875.3</v>
      </c>
    </row>
    <row r="248" spans="1:6" hidden="1" x14ac:dyDescent="0.25">
      <c r="C248" s="4" t="s">
        <v>9</v>
      </c>
      <c r="D248" s="42">
        <f>SUM(D243:D247)</f>
        <v>3586622.8</v>
      </c>
      <c r="E248" s="42">
        <f>SUM(E243:E247)</f>
        <v>4305269.5</v>
      </c>
    </row>
    <row r="249" spans="1:6" hidden="1" x14ac:dyDescent="0.25">
      <c r="D249" s="39" t="s">
        <v>58</v>
      </c>
      <c r="E249" s="39" t="s">
        <v>59</v>
      </c>
    </row>
    <row r="251" spans="1:6" hidden="1" x14ac:dyDescent="0.25">
      <c r="A251" s="44" t="s">
        <v>57</v>
      </c>
      <c r="C251" s="4">
        <v>2019</v>
      </c>
      <c r="D251" s="42">
        <f>D62+D138+D223</f>
        <v>216003.90000000002</v>
      </c>
    </row>
    <row r="252" spans="1:6" hidden="1" x14ac:dyDescent="0.25">
      <c r="C252" s="4">
        <v>2020</v>
      </c>
      <c r="D252" s="42">
        <f>D63+D139+D217+D220+D224</f>
        <v>446977.20000000007</v>
      </c>
    </row>
    <row r="253" spans="1:6" hidden="1" x14ac:dyDescent="0.25">
      <c r="C253" s="4">
        <v>2021</v>
      </c>
      <c r="D253" s="65">
        <f>D64+D140+D218++D221+D225</f>
        <v>289144.89999999997</v>
      </c>
      <c r="E253" s="42"/>
      <c r="F253" s="42"/>
    </row>
    <row r="254" spans="1:6" hidden="1" x14ac:dyDescent="0.25">
      <c r="C254" s="4">
        <v>2022</v>
      </c>
      <c r="D254" s="65">
        <f>D65+D141+D226</f>
        <v>1308002.8</v>
      </c>
      <c r="E254" s="42"/>
      <c r="F254" s="42"/>
    </row>
    <row r="255" spans="1:6" hidden="1" x14ac:dyDescent="0.25">
      <c r="C255" s="4">
        <v>2023</v>
      </c>
      <c r="D255" s="65">
        <f>D142+D227</f>
        <v>2052875.3</v>
      </c>
    </row>
    <row r="256" spans="1:6" hidden="1" x14ac:dyDescent="0.25">
      <c r="C256" s="4">
        <v>2024</v>
      </c>
      <c r="D256" s="65"/>
    </row>
    <row r="257" spans="1:4" hidden="1" x14ac:dyDescent="0.25">
      <c r="C257" s="4" t="s">
        <v>63</v>
      </c>
      <c r="D257" s="65">
        <f>SUM(D251:D256)</f>
        <v>4313004.0999999996</v>
      </c>
    </row>
    <row r="258" spans="1:4" hidden="1" x14ac:dyDescent="0.25"/>
    <row r="259" spans="1:4" hidden="1" x14ac:dyDescent="0.25">
      <c r="A259" s="44" t="s">
        <v>64</v>
      </c>
      <c r="C259" s="4">
        <v>2019</v>
      </c>
      <c r="D259" s="42">
        <f>D223</f>
        <v>6600</v>
      </c>
    </row>
    <row r="260" spans="1:4" hidden="1" x14ac:dyDescent="0.25">
      <c r="C260" s="4">
        <v>2020</v>
      </c>
      <c r="D260" s="42">
        <f>D217+D220+D224</f>
        <v>325142.59999999998</v>
      </c>
    </row>
    <row r="261" spans="1:4" hidden="1" x14ac:dyDescent="0.25">
      <c r="C261" s="4">
        <v>2021</v>
      </c>
      <c r="D261" s="42">
        <f>D218+D221+D225</f>
        <v>113468.3</v>
      </c>
    </row>
    <row r="262" spans="1:4" hidden="1" x14ac:dyDescent="0.25">
      <c r="C262" s="4">
        <v>2022</v>
      </c>
      <c r="D262" s="42">
        <f>D226</f>
        <v>1213534.5</v>
      </c>
    </row>
    <row r="263" spans="1:4" hidden="1" x14ac:dyDescent="0.25">
      <c r="C263" s="4">
        <v>2023</v>
      </c>
      <c r="D263" s="42">
        <f>D227</f>
        <v>1935612</v>
      </c>
    </row>
    <row r="264" spans="1:4" hidden="1" x14ac:dyDescent="0.25">
      <c r="C264" s="4">
        <v>2024</v>
      </c>
      <c r="D264" s="39">
        <v>0</v>
      </c>
    </row>
    <row r="265" spans="1:4" hidden="1" x14ac:dyDescent="0.25">
      <c r="C265" s="4" t="s">
        <v>63</v>
      </c>
      <c r="D265" s="42">
        <f>SUM(D259:D264)</f>
        <v>3594357.4</v>
      </c>
    </row>
  </sheetData>
  <mergeCells count="106">
    <mergeCell ref="A10:A15"/>
    <mergeCell ref="B10:B15"/>
    <mergeCell ref="A16:B16"/>
    <mergeCell ref="A17:A22"/>
    <mergeCell ref="B17:B22"/>
    <mergeCell ref="A23:B23"/>
    <mergeCell ref="A3:H3"/>
    <mergeCell ref="A4:H4"/>
    <mergeCell ref="A5:H5"/>
    <mergeCell ref="A7:A8"/>
    <mergeCell ref="B7:B8"/>
    <mergeCell ref="C7:C8"/>
    <mergeCell ref="D7:H7"/>
    <mergeCell ref="A38:A43"/>
    <mergeCell ref="B38:B43"/>
    <mergeCell ref="A44:B44"/>
    <mergeCell ref="A45:A47"/>
    <mergeCell ref="B45:B47"/>
    <mergeCell ref="A48:B48"/>
    <mergeCell ref="A24:A29"/>
    <mergeCell ref="B24:B29"/>
    <mergeCell ref="A30:B30"/>
    <mergeCell ref="A31:A36"/>
    <mergeCell ref="B31:B36"/>
    <mergeCell ref="A37:B37"/>
    <mergeCell ref="A66:B66"/>
    <mergeCell ref="A67:A72"/>
    <mergeCell ref="B67:B72"/>
    <mergeCell ref="A73:B73"/>
    <mergeCell ref="A49:A54"/>
    <mergeCell ref="B49:B54"/>
    <mergeCell ref="A55:B55"/>
    <mergeCell ref="A61:B61"/>
    <mergeCell ref="A62:A65"/>
    <mergeCell ref="B62:B65"/>
    <mergeCell ref="A56:A60"/>
    <mergeCell ref="B56:B60"/>
    <mergeCell ref="A88:A93"/>
    <mergeCell ref="B88:B93"/>
    <mergeCell ref="A94:B94"/>
    <mergeCell ref="A95:A100"/>
    <mergeCell ref="B95:B100"/>
    <mergeCell ref="A101:B101"/>
    <mergeCell ref="A74:A79"/>
    <mergeCell ref="B74:B79"/>
    <mergeCell ref="A80:B80"/>
    <mergeCell ref="A81:A86"/>
    <mergeCell ref="B81:B86"/>
    <mergeCell ref="A87:B87"/>
    <mergeCell ref="A122:B122"/>
    <mergeCell ref="A123:A128"/>
    <mergeCell ref="B123:B128"/>
    <mergeCell ref="A129:B129"/>
    <mergeCell ref="A102:A107"/>
    <mergeCell ref="B102:B107"/>
    <mergeCell ref="A108:B108"/>
    <mergeCell ref="A109:A114"/>
    <mergeCell ref="B109:B114"/>
    <mergeCell ref="A116:A121"/>
    <mergeCell ref="B116:B121"/>
    <mergeCell ref="A143:B143"/>
    <mergeCell ref="A144:A149"/>
    <mergeCell ref="B144:B149"/>
    <mergeCell ref="A150:B150"/>
    <mergeCell ref="A151:A156"/>
    <mergeCell ref="B151:B156"/>
    <mergeCell ref="A131:B131"/>
    <mergeCell ref="A137:B137"/>
    <mergeCell ref="A132:A136"/>
    <mergeCell ref="A138:A142"/>
    <mergeCell ref="B138:B142"/>
    <mergeCell ref="B132:B136"/>
    <mergeCell ref="A171:B171"/>
    <mergeCell ref="A172:A177"/>
    <mergeCell ref="B172:B177"/>
    <mergeCell ref="A178:B178"/>
    <mergeCell ref="A179:A184"/>
    <mergeCell ref="B179:B184"/>
    <mergeCell ref="A157:B157"/>
    <mergeCell ref="A164:B164"/>
    <mergeCell ref="A165:A170"/>
    <mergeCell ref="B165:B170"/>
    <mergeCell ref="A158:A163"/>
    <mergeCell ref="B158:B163"/>
    <mergeCell ref="A199:B199"/>
    <mergeCell ref="A200:A205"/>
    <mergeCell ref="B200:B205"/>
    <mergeCell ref="A206:B206"/>
    <mergeCell ref="A185:B185"/>
    <mergeCell ref="A186:A191"/>
    <mergeCell ref="B186:B191"/>
    <mergeCell ref="A192:B192"/>
    <mergeCell ref="A193:A198"/>
    <mergeCell ref="B193:B198"/>
    <mergeCell ref="A228:B228"/>
    <mergeCell ref="A207:A212"/>
    <mergeCell ref="B207:B212"/>
    <mergeCell ref="A213:B213"/>
    <mergeCell ref="A222:B222"/>
    <mergeCell ref="A216:A218"/>
    <mergeCell ref="B216:B218"/>
    <mergeCell ref="A219:B219"/>
    <mergeCell ref="B223:B227"/>
    <mergeCell ref="A223:A227"/>
    <mergeCell ref="A220:A221"/>
    <mergeCell ref="B220:B22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Петровна Иванова</dc:creator>
  <cp:lastModifiedBy>Наталья Михайловна Торопова</cp:lastModifiedBy>
  <cp:lastPrinted>2021-11-24T12:43:51Z</cp:lastPrinted>
  <dcterms:created xsi:type="dcterms:W3CDTF">2019-11-06T08:37:30Z</dcterms:created>
  <dcterms:modified xsi:type="dcterms:W3CDTF">2021-12-20T07:38:47Z</dcterms:modified>
</cp:coreProperties>
</file>