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90" yWindow="405" windowWidth="14625" windowHeight="12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F16" i="1"/>
  <c r="E16" i="1"/>
  <c r="F18" i="1" l="1"/>
  <c r="D203" i="1"/>
  <c r="D191" i="1"/>
  <c r="E196" i="1"/>
  <c r="F196" i="1"/>
  <c r="E191" i="1"/>
  <c r="F191" i="1"/>
  <c r="F163" i="1"/>
  <c r="E177" i="1"/>
  <c r="D177" i="1" s="1"/>
  <c r="D170" i="1"/>
  <c r="D156" i="1"/>
  <c r="D149" i="1"/>
  <c r="F142" i="1"/>
  <c r="D142" i="1" s="1"/>
  <c r="D137" i="1"/>
  <c r="F132" i="1"/>
  <c r="F116" i="1" s="1"/>
  <c r="D132" i="1"/>
  <c r="F118" i="1"/>
  <c r="F117" i="1"/>
  <c r="E118" i="1"/>
  <c r="E117" i="1"/>
  <c r="E116" i="1"/>
  <c r="D116" i="1" s="1"/>
  <c r="D123" i="1"/>
  <c r="D102" i="1"/>
  <c r="D50" i="1"/>
  <c r="D32" i="1"/>
  <c r="D25" i="1"/>
  <c r="F213" i="1" l="1"/>
  <c r="F212" i="1" l="1"/>
  <c r="G193" i="1" l="1"/>
  <c r="G191" i="1"/>
  <c r="G190" i="1"/>
  <c r="F200" i="1" l="1"/>
  <c r="F201" i="1" s="1"/>
  <c r="F202" i="1" s="1"/>
  <c r="F199" i="1"/>
  <c r="F192" i="1" s="1"/>
  <c r="F198" i="1"/>
  <c r="F88" i="1" l="1"/>
  <c r="F74" i="1"/>
  <c r="F75" i="1" l="1"/>
  <c r="G115" i="1"/>
  <c r="G121" i="1" s="1"/>
  <c r="F190" i="1"/>
  <c r="D213" i="1"/>
  <c r="D212" i="1"/>
  <c r="F214" i="1"/>
  <c r="F205" i="1"/>
  <c r="F193" i="1"/>
  <c r="D214" i="1" l="1"/>
  <c r="E184" i="1"/>
  <c r="D201" i="1" l="1"/>
  <c r="F78" i="1"/>
  <c r="E163" i="1" l="1"/>
  <c r="D163" i="1" s="1"/>
  <c r="E182" i="1"/>
  <c r="F34" i="1"/>
  <c r="F20" i="1" s="1"/>
  <c r="F33" i="1"/>
  <c r="G18" i="1"/>
  <c r="G19" i="1"/>
  <c r="G20" i="1"/>
  <c r="G21" i="1"/>
  <c r="G22" i="1"/>
  <c r="F19" i="1"/>
  <c r="D19" i="1" s="1"/>
  <c r="G37" i="1"/>
  <c r="D34" i="1" l="1"/>
  <c r="G23" i="1"/>
  <c r="D20" i="1"/>
  <c r="D18" i="1"/>
  <c r="F35" i="1" l="1"/>
  <c r="F36" i="1" s="1"/>
  <c r="D35" i="1" l="1"/>
  <c r="F83" i="1"/>
  <c r="F82" i="1"/>
  <c r="F81" i="1"/>
  <c r="F76" i="1"/>
  <c r="F79" i="1" s="1"/>
  <c r="F31" i="1"/>
  <c r="F17" i="1" s="1"/>
  <c r="D17" i="1" l="1"/>
  <c r="E148" i="1"/>
  <c r="E141" i="1" s="1"/>
  <c r="D141" i="1" s="1"/>
  <c r="E122" i="1"/>
  <c r="D148" i="1" l="1"/>
  <c r="F122" i="1"/>
  <c r="D122" i="1" s="1"/>
  <c r="E131" i="1" l="1"/>
  <c r="E135" i="1" s="1"/>
  <c r="E39" i="1"/>
  <c r="E38" i="1"/>
  <c r="E61" i="1"/>
  <c r="F153" i="1" l="1"/>
  <c r="F164" i="1" l="1"/>
  <c r="E41" i="1" l="1"/>
  <c r="E40" i="1"/>
  <c r="E65" i="1"/>
  <c r="D65" i="1" s="1"/>
  <c r="D62" i="1"/>
  <c r="D63" i="1"/>
  <c r="D64" i="1"/>
  <c r="D61" i="1"/>
  <c r="E60" i="1"/>
  <c r="D60" i="1" s="1"/>
  <c r="D57" i="1"/>
  <c r="D58" i="1"/>
  <c r="D59" i="1"/>
  <c r="D56" i="1"/>
  <c r="D38" i="1" l="1"/>
  <c r="E44" i="1"/>
  <c r="D198" i="1"/>
  <c r="E140" i="1"/>
  <c r="D138" i="1"/>
  <c r="D139" i="1"/>
  <c r="D136" i="1"/>
  <c r="D133" i="1"/>
  <c r="D134" i="1"/>
  <c r="D125" i="1"/>
  <c r="E128" i="1"/>
  <c r="D172" i="1"/>
  <c r="D171" i="1"/>
  <c r="D140" i="1" l="1"/>
  <c r="E11" i="1"/>
  <c r="E164" i="1"/>
  <c r="E12" i="1" s="1"/>
  <c r="E165" i="1"/>
  <c r="E13" i="1" s="1"/>
  <c r="E162" i="1"/>
  <c r="E168" i="1" l="1"/>
  <c r="H207" i="1" l="1"/>
  <c r="H206" i="1"/>
  <c r="H205" i="1"/>
  <c r="H204" i="1"/>
  <c r="D204" i="1" s="1"/>
  <c r="F183" i="1" l="1"/>
  <c r="F169" i="1"/>
  <c r="F176" i="1"/>
  <c r="D183" i="1" l="1"/>
  <c r="F126" i="1"/>
  <c r="F127" i="1" l="1"/>
  <c r="F120" i="1" s="1"/>
  <c r="F119" i="1"/>
  <c r="F173" i="1"/>
  <c r="H222" i="1"/>
  <c r="D221" i="1"/>
  <c r="D220" i="1"/>
  <c r="D219" i="1"/>
  <c r="E218" i="1"/>
  <c r="D216" i="1"/>
  <c r="H210" i="1"/>
  <c r="G208" i="1"/>
  <c r="F208" i="1"/>
  <c r="F194" i="1" s="1"/>
  <c r="D207" i="1"/>
  <c r="G206" i="1"/>
  <c r="D205" i="1"/>
  <c r="D200" i="1"/>
  <c r="D199" i="1"/>
  <c r="D197" i="1"/>
  <c r="H195" i="1"/>
  <c r="H15" i="1" s="1"/>
  <c r="H194" i="1"/>
  <c r="H14" i="1" s="1"/>
  <c r="H193" i="1"/>
  <c r="H13" i="1" s="1"/>
  <c r="H192" i="1"/>
  <c r="H12" i="1" s="1"/>
  <c r="H191" i="1"/>
  <c r="H11" i="1" s="1"/>
  <c r="H190" i="1"/>
  <c r="G209" i="1" l="1"/>
  <c r="G195" i="1" s="1"/>
  <c r="G194" i="1"/>
  <c r="D194" i="1" s="1"/>
  <c r="G192" i="1"/>
  <c r="G210" i="1"/>
  <c r="F209" i="1"/>
  <c r="D190" i="1"/>
  <c r="G11" i="1"/>
  <c r="D193" i="1"/>
  <c r="D196" i="1" s="1"/>
  <c r="G13" i="1"/>
  <c r="G10" i="1"/>
  <c r="D192" i="1"/>
  <c r="H10" i="1"/>
  <c r="H196" i="1"/>
  <c r="D222" i="1"/>
  <c r="D218" i="1"/>
  <c r="D208" i="1"/>
  <c r="D206" i="1"/>
  <c r="F210" i="1" l="1"/>
  <c r="D209" i="1"/>
  <c r="D210" i="1" s="1"/>
  <c r="F195" i="1"/>
  <c r="D195" i="1" s="1"/>
  <c r="G14" i="1"/>
  <c r="G196" i="1"/>
  <c r="G12" i="1"/>
  <c r="F203" i="1"/>
  <c r="G15" i="1"/>
  <c r="D202" i="1"/>
  <c r="G16" i="1" l="1"/>
  <c r="F115" i="1" l="1"/>
  <c r="E161" i="1" l="1"/>
  <c r="F159" i="1"/>
  <c r="D159" i="1" s="1"/>
  <c r="D158" i="1"/>
  <c r="F160" i="1" l="1"/>
  <c r="D160" i="1" s="1"/>
  <c r="E115" i="1"/>
  <c r="E10" i="1" s="1"/>
  <c r="F161" i="1" l="1"/>
  <c r="E121" i="1"/>
  <c r="H16" i="1"/>
  <c r="F187" i="1" l="1"/>
  <c r="F188" i="1" s="1"/>
  <c r="F180" i="1"/>
  <c r="F174" i="1"/>
  <c r="F166" i="1" l="1"/>
  <c r="F181" i="1"/>
  <c r="F167" i="1" s="1"/>
  <c r="F175" i="1"/>
  <c r="F128" i="1"/>
  <c r="F182" i="1" l="1"/>
  <c r="D119" i="1"/>
  <c r="F145" i="1"/>
  <c r="F146" i="1"/>
  <c r="D146" i="1" s="1"/>
  <c r="F112" i="1"/>
  <c r="F113" i="1" l="1"/>
  <c r="F114" i="1"/>
  <c r="F154" i="1"/>
  <c r="F105" i="1"/>
  <c r="F98" i="1" l="1"/>
  <c r="F106" i="1"/>
  <c r="F99" i="1" s="1"/>
  <c r="F91" i="1"/>
  <c r="F92" i="1" s="1"/>
  <c r="D92" i="1" s="1"/>
  <c r="D84" i="1"/>
  <c r="D91" i="1" l="1"/>
  <c r="F107" i="1"/>
  <c r="F85" i="1"/>
  <c r="D85" i="1" s="1"/>
  <c r="F53" i="1"/>
  <c r="D53" i="1" s="1"/>
  <c r="F70" i="1" l="1"/>
  <c r="D70" i="1" s="1"/>
  <c r="D77" i="1"/>
  <c r="F54" i="1"/>
  <c r="F42" i="1"/>
  <c r="F28" i="1"/>
  <c r="D42" i="1" l="1"/>
  <c r="F29" i="1"/>
  <c r="F22" i="1" s="1"/>
  <c r="F21" i="1"/>
  <c r="F23" i="1" s="1"/>
  <c r="D36" i="1"/>
  <c r="F37" i="1"/>
  <c r="F71" i="1"/>
  <c r="D71" i="1" s="1"/>
  <c r="D78" i="1"/>
  <c r="F43" i="1"/>
  <c r="D43" i="1" s="1"/>
  <c r="D54" i="1"/>
  <c r="F14" i="1" l="1"/>
  <c r="D14" i="1" s="1"/>
  <c r="D21" i="1"/>
  <c r="D22" i="1"/>
  <c r="F15" i="1"/>
  <c r="D15" i="1" s="1"/>
  <c r="F165" i="1"/>
  <c r="D165" i="1" s="1"/>
  <c r="D164" i="1"/>
  <c r="D166" i="1"/>
  <c r="D167" i="1"/>
  <c r="D184" i="1"/>
  <c r="D185" i="1"/>
  <c r="D186" i="1"/>
  <c r="D187" i="1"/>
  <c r="D188" i="1"/>
  <c r="D178" i="1"/>
  <c r="D179" i="1"/>
  <c r="D180" i="1"/>
  <c r="D181" i="1"/>
  <c r="D176" i="1"/>
  <c r="D23" i="1" l="1"/>
  <c r="D182" i="1"/>
  <c r="D189" i="1"/>
  <c r="D173" i="1"/>
  <c r="D174" i="1"/>
  <c r="F144" i="1" l="1"/>
  <c r="F143" i="1"/>
  <c r="F147" i="1"/>
  <c r="E147" i="1"/>
  <c r="D144" i="1"/>
  <c r="D145" i="1"/>
  <c r="D157" i="1"/>
  <c r="D150" i="1"/>
  <c r="D151" i="1"/>
  <c r="D152" i="1"/>
  <c r="D153" i="1"/>
  <c r="D154" i="1" l="1"/>
  <c r="D143" i="1"/>
  <c r="D161" i="1"/>
  <c r="D118" i="1"/>
  <c r="D117" i="1"/>
  <c r="D120" i="1"/>
  <c r="F121" i="1" l="1"/>
  <c r="F135" i="1"/>
  <c r="D131" i="1"/>
  <c r="G130" i="1"/>
  <c r="F130" i="1"/>
  <c r="D129" i="1"/>
  <c r="D127" i="1"/>
  <c r="D126" i="1"/>
  <c r="D124" i="1"/>
  <c r="F97" i="1"/>
  <c r="D97" i="1" s="1"/>
  <c r="F96" i="1"/>
  <c r="D96" i="1" s="1"/>
  <c r="F95" i="1"/>
  <c r="D98" i="1"/>
  <c r="D99" i="1"/>
  <c r="D110" i="1"/>
  <c r="D111" i="1"/>
  <c r="D112" i="1"/>
  <c r="D113" i="1"/>
  <c r="D109" i="1"/>
  <c r="D103" i="1"/>
  <c r="D104" i="1"/>
  <c r="D105" i="1"/>
  <c r="D106" i="1"/>
  <c r="F68" i="1"/>
  <c r="D68" i="1" s="1"/>
  <c r="F69" i="1"/>
  <c r="D69" i="1" s="1"/>
  <c r="F67" i="1"/>
  <c r="D67" i="1" s="1"/>
  <c r="D115" i="1" l="1"/>
  <c r="D135" i="1"/>
  <c r="F100" i="1"/>
  <c r="D114" i="1"/>
  <c r="D107" i="1"/>
  <c r="D121" i="1"/>
  <c r="D128" i="1"/>
  <c r="D130" i="1"/>
  <c r="D95" i="1"/>
  <c r="D100" i="1" s="1"/>
  <c r="D72" i="1"/>
  <c r="F72" i="1"/>
  <c r="F93" i="1"/>
  <c r="D89" i="1"/>
  <c r="D90" i="1"/>
  <c r="D88" i="1"/>
  <c r="F86" i="1"/>
  <c r="D82" i="1"/>
  <c r="D83" i="1"/>
  <c r="D81" i="1"/>
  <c r="D74" i="1"/>
  <c r="F30" i="1"/>
  <c r="F55" i="1"/>
  <c r="D75" i="1"/>
  <c r="D76" i="1"/>
  <c r="F41" i="1"/>
  <c r="F40" i="1"/>
  <c r="F12" i="1" s="1"/>
  <c r="F39" i="1"/>
  <c r="F11" i="1" s="1"/>
  <c r="D51" i="1"/>
  <c r="D52" i="1"/>
  <c r="D26" i="1"/>
  <c r="D28" i="1"/>
  <c r="D29" i="1"/>
  <c r="D33" i="1"/>
  <c r="D37" i="1" s="1"/>
  <c r="F162" i="1"/>
  <c r="F168" i="1" s="1"/>
  <c r="E189" i="1"/>
  <c r="F189" i="1"/>
  <c r="E154" i="1"/>
  <c r="D147" i="1"/>
  <c r="D169" i="1"/>
  <c r="D162" i="1" s="1"/>
  <c r="D168" i="1" s="1"/>
  <c r="D12" i="1" l="1"/>
  <c r="D79" i="1"/>
  <c r="D39" i="1"/>
  <c r="D11" i="1"/>
  <c r="D41" i="1"/>
  <c r="F13" i="1"/>
  <c r="D13" i="1" s="1"/>
  <c r="F44" i="1"/>
  <c r="D40" i="1"/>
  <c r="F10" i="1"/>
  <c r="D175" i="1"/>
  <c r="D86" i="1"/>
  <c r="D30" i="1"/>
  <c r="D55" i="1"/>
  <c r="D93" i="1"/>
  <c r="D10" i="1" l="1"/>
  <c r="D44" i="1"/>
</calcChain>
</file>

<file path=xl/comments1.xml><?xml version="1.0" encoding="utf-8"?>
<comments xmlns="http://schemas.openxmlformats.org/spreadsheetml/2006/main">
  <authors>
    <author>Наталья Михайловна Торопова</author>
  </authors>
  <commentList>
    <comment ref="F171" authorId="0">
      <text>
        <r>
          <rPr>
            <b/>
            <sz val="9"/>
            <color indexed="81"/>
            <rFont val="Tahoma"/>
            <charset val="1"/>
          </rPr>
          <t>Наталья Михайловна Торопова:</t>
        </r>
        <r>
          <rPr>
            <sz val="9"/>
            <color indexed="81"/>
            <rFont val="Tahoma"/>
            <charset val="1"/>
          </rPr>
          <t xml:space="preserve">
ОБ</t>
        </r>
      </text>
    </comment>
  </commentList>
</comments>
</file>

<file path=xl/sharedStrings.xml><?xml version="1.0" encoding="utf-8"?>
<sst xmlns="http://schemas.openxmlformats.org/spreadsheetml/2006/main" count="116" uniqueCount="55">
  <si>
    <t>«Приложение 6</t>
  </si>
  <si>
    <t>к государственной программе…</t>
  </si>
  <si>
    <t>ПЛАН</t>
  </si>
  <si>
    <t>реализации государственной программы Ленинградской области</t>
  </si>
  <si>
    <t>"Охрана окружающей среды Ленинградской области" на 2019-2024 годы</t>
  </si>
  <si>
    <t>Наименование государственной программы, подпрограммы, основного мероприятия</t>
  </si>
  <si>
    <t>Ответственный исполнитель, соисполнители, участники</t>
  </si>
  <si>
    <t>Годы реализации</t>
  </si>
  <si>
    <t>Оценка расходов (тыс. рублей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</si>
  <si>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</si>
  <si>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</si>
  <si>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</si>
  <si>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</si>
  <si>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</si>
  <si>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Государственная программа Ленинградской области "Охрана окружающей среды Ленинградской области"</t>
  </si>
  <si>
    <t>Ответственный исполнитель - Комитет по природным ресурсам Ленинградской области</t>
  </si>
  <si>
    <t>Итого</t>
  </si>
  <si>
    <t>Подпрограмма "Мониторинг, регулирование качества окружающей среды и формирование экологической культуры"</t>
  </si>
  <si>
    <t>Комитет по природным ресурсам Ленинградской области</t>
  </si>
  <si>
    <t>Основное мероприятие 1.1 "Мониторинг состояния окружающей среды и обеспечение экологической безопасности"</t>
  </si>
  <si>
    <t>Основное мероприятие 1.2 "Формирование экологической культуры населения Ленинградской области"</t>
  </si>
  <si>
    <t>Подпрограмма "Развитие водохозяйственного комплекса"</t>
  </si>
  <si>
    <t>Основное мероприятие 2.1 "Защита от негативного воздействия вод и экологическая реабилитация водных объектов"</t>
  </si>
  <si>
    <t>Основное мероприятие 2.2 "Обеспечение безопасности гидротехнических сооружений"</t>
  </si>
  <si>
    <t>Основное мероприятие 2.3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</si>
  <si>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Основное мероприятие 2.4. Федеральный проект «Сохранение уникальных водных объектов» (региональный проект «Сохранение уникальных водных объектов (Ленинградская область)»)</t>
  </si>
  <si>
    <t>Подпрограмма "Особо охраняемые природные территории"</t>
  </si>
  <si>
    <t>Основное мероприятие 3.1 "Обеспечение управления и организация функционирования особо охраняемых природных территорий Ленинградской области"</t>
  </si>
  <si>
    <t>Основное мероприятие 3.2. «Развитие системы особо охраняемых природных территорий Ленинградской области»</t>
  </si>
  <si>
    <t>Основное мероприятие 3.3 «Организация и проведение государственной экологической экспертизы объектов регионального уровня»</t>
  </si>
  <si>
    <t>Подпрограмма "Минерально-сырьевая база"</t>
  </si>
  <si>
    <t>Основное мероприятие  4.1. "Обеспечение реализации государственных функций в сфере недропользования, охраны окружающей среды, водных отношений"</t>
  </si>
  <si>
    <t>Основное мероприятие 4.2  "Геологическое изучение и использование минерально-сырьевой базы"</t>
  </si>
  <si>
    <t>Подпрограмма "Развитие лесного хозяйства"</t>
  </si>
  <si>
    <t>Основное мероприятие 5.1 "Обеспечение государственного управления и реализации полномочий в области лесных отношений"</t>
  </si>
  <si>
    <t>Комитет по природным ресурсам Ленинградской области "</t>
  </si>
  <si>
    <t>Основное мероприятие 5.2 "Господдержка работы школьных лесничеств"</t>
  </si>
  <si>
    <t>Основное мероприятие 5.3 "Обеспечение охраны, защиты, воспроизводства лесов на землях лесного фонда"</t>
  </si>
  <si>
    <t>Основное мероприятие 5.4 Федеральный проект «Сохранение лесов» (региональный проект «Сохранение лесов» (Ленинградская область)»)</t>
  </si>
  <si>
    <t>Подпрограмма "Экологический надзор"</t>
  </si>
  <si>
    <t>Комитет государственного экологического надзора Ленинградской области</t>
  </si>
  <si>
    <t>Основное мероприятие 6.1 «Обеспечение реализации государственных полномочий в сфере государственного экологического надзора»</t>
  </si>
  <si>
    <t>Основное мероприятие 6.2. «Организация и осуществление государственного экологического надзора»</t>
  </si>
  <si>
    <t>Подпрограмма "Животный мир"</t>
  </si>
  <si>
    <t>Комитет по охране, контролю и регулированию использования объектов животного мира Ленинградской области</t>
  </si>
  <si>
    <t>Основное мероприятие 7.1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</si>
  <si>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7.2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</si>
  <si>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7.3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</si>
  <si>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Подпрограмма "Обращение с отходами"</t>
  </si>
  <si>
    <t>Основное мероприятие 8.1 "Обеспечение реализации государственных функций в сфере обращения с отходами"</t>
  </si>
  <si>
    <t>Основное мероприятие 8.2 "Создание системы обращения с отходами производства и потребления на территории Ленинградской области"</t>
  </si>
  <si>
    <t>Основное мероприятие 8.3. Федеральный проект "Чистая страна"  (региональный проект "Чистая страна (Ленинградская область)")</t>
  </si>
  <si>
    <t>Основное мероприятие 8.4. Федеральный проект "Комплексная система обращения с твердыми коммунальными отходами" (региональный проект "Комплексная система обращения с твердыми коммунальными отходами (Ленинградская область)" )</t>
  </si>
  <si>
    <t>Приоритетный проект: «Создание системы обращения с твердыми коммунальными отходами на территории Ленинградской области. I этап: Проектирование и строительство объекта по переработке и размещению твердых коммунальных и отдельных видов промышленных отходов в муниципальном образовании Кингисеппский муниципальный район»</t>
  </si>
  <si>
    <t>Комитет Ленинградской области по обращению с отходами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</si>
</sst>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3" borderId="0" xfId="0" applyNumberFormat="1" applyFont="1" applyFill="1"/>
    <xf numFmtId="0" fontId="4" fillId="3" borderId="0" xfId="0" applyFont="1" applyFill="1"/>
    <xf numFmtId="0" fontId="3" fillId="0" borderId="8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165" fontId="3" fillId="3" borderId="2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3" borderId="0" xfId="0" applyFill="1"/>
    <xf numFmtId="165" fontId="0" fillId="0" borderId="0" xfId="0" applyNumberFormat="1"/>
    <xf numFmtId="165" fontId="8" fillId="3" borderId="1" xfId="0" applyNumberFormat="1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165" fontId="8" fillId="3" borderId="17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center" vertical="center" wrapText="1"/>
    </xf>
    <xf numFmtId="165" fontId="8" fillId="3" borderId="1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165" fontId="0" fillId="3" borderId="8" xfId="0" applyNumberFormat="1" applyFont="1" applyFill="1" applyBorder="1"/>
    <xf numFmtId="165" fontId="8" fillId="3" borderId="22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8" fillId="3" borderId="24" xfId="0" applyNumberFormat="1" applyFont="1" applyFill="1" applyBorder="1" applyAlignment="1">
      <alignment horizontal="center" vertical="center" wrapText="1"/>
    </xf>
    <xf numFmtId="165" fontId="8" fillId="3" borderId="20" xfId="0" applyNumberFormat="1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Font="1"/>
    <xf numFmtId="0" fontId="5" fillId="3" borderId="7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vertical="center" wrapText="1"/>
    </xf>
    <xf numFmtId="2" fontId="3" fillId="3" borderId="6" xfId="0" applyNumberFormat="1" applyFont="1" applyFill="1" applyBorder="1" applyAlignment="1">
      <alignment vertical="center" wrapText="1"/>
    </xf>
    <xf numFmtId="2" fontId="3" fillId="3" borderId="5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28"/>
  <sheetViews>
    <sheetView tabSelected="1" topLeftCell="D1" zoomScale="75" zoomScaleNormal="75" workbookViewId="0">
      <selection activeCell="J11" sqref="J11"/>
    </sheetView>
  </sheetViews>
  <sheetFormatPr defaultRowHeight="15" x14ac:dyDescent="0.25"/>
  <cols>
    <col min="1" max="1" width="53" style="30" customWidth="1"/>
    <col min="2" max="2" width="32.7109375" style="30" customWidth="1"/>
    <col min="3" max="3" width="16.42578125" style="30" customWidth="1"/>
    <col min="4" max="4" width="20.5703125" style="32" customWidth="1"/>
    <col min="5" max="5" width="15.140625" style="32" customWidth="1"/>
    <col min="6" max="6" width="18.5703125" style="32" customWidth="1"/>
    <col min="7" max="7" width="14" style="30" customWidth="1"/>
    <col min="8" max="8" width="18.85546875" style="30" customWidth="1"/>
    <col min="10" max="10" width="11.7109375" bestFit="1" customWidth="1"/>
    <col min="12" max="12" width="12.7109375" customWidth="1"/>
    <col min="13" max="13" width="10.5703125" bestFit="1" customWidth="1"/>
    <col min="14" max="14" width="11.28515625" bestFit="1" customWidth="1"/>
  </cols>
  <sheetData>
    <row r="1" spans="1:14" ht="15.75" x14ac:dyDescent="0.25">
      <c r="A1" s="6"/>
      <c r="B1" s="6"/>
      <c r="C1" s="6"/>
      <c r="D1" s="7"/>
      <c r="E1" s="7"/>
      <c r="F1" s="7"/>
      <c r="G1" s="6"/>
      <c r="H1" s="8" t="s">
        <v>0</v>
      </c>
    </row>
    <row r="2" spans="1:14" ht="15.75" x14ac:dyDescent="0.25">
      <c r="A2" s="6"/>
      <c r="B2" s="6"/>
      <c r="C2" s="6"/>
      <c r="D2" s="7"/>
      <c r="E2" s="7"/>
      <c r="F2" s="7"/>
      <c r="G2" s="6"/>
      <c r="H2" s="8" t="s">
        <v>1</v>
      </c>
    </row>
    <row r="3" spans="1:14" ht="15.75" x14ac:dyDescent="0.25">
      <c r="A3" s="96" t="s">
        <v>2</v>
      </c>
      <c r="B3" s="96"/>
      <c r="C3" s="96"/>
      <c r="D3" s="96"/>
      <c r="E3" s="96"/>
      <c r="F3" s="96"/>
      <c r="G3" s="96"/>
      <c r="H3" s="96"/>
    </row>
    <row r="4" spans="1:14" ht="15.75" x14ac:dyDescent="0.25">
      <c r="A4" s="96" t="s">
        <v>3</v>
      </c>
      <c r="B4" s="96"/>
      <c r="C4" s="96"/>
      <c r="D4" s="96"/>
      <c r="E4" s="96"/>
      <c r="F4" s="96"/>
      <c r="G4" s="96"/>
      <c r="H4" s="96"/>
    </row>
    <row r="5" spans="1:14" ht="15.75" x14ac:dyDescent="0.25">
      <c r="A5" s="96" t="s">
        <v>4</v>
      </c>
      <c r="B5" s="96"/>
      <c r="C5" s="96"/>
      <c r="D5" s="96"/>
      <c r="E5" s="96"/>
      <c r="F5" s="96"/>
      <c r="G5" s="96"/>
      <c r="H5" s="96"/>
    </row>
    <row r="6" spans="1:14" ht="16.5" thickBot="1" x14ac:dyDescent="0.3">
      <c r="A6" s="9"/>
      <c r="B6" s="9"/>
      <c r="C6" s="9"/>
      <c r="D6" s="10"/>
      <c r="E6" s="10"/>
      <c r="F6" s="10"/>
      <c r="G6" s="11"/>
      <c r="H6" s="11"/>
    </row>
    <row r="7" spans="1:14" ht="16.5" thickBot="1" x14ac:dyDescent="0.3">
      <c r="A7" s="97" t="s">
        <v>5</v>
      </c>
      <c r="B7" s="97" t="s">
        <v>6</v>
      </c>
      <c r="C7" s="97" t="s">
        <v>7</v>
      </c>
      <c r="D7" s="99" t="s">
        <v>8</v>
      </c>
      <c r="E7" s="100"/>
      <c r="F7" s="100"/>
      <c r="G7" s="100"/>
      <c r="H7" s="101"/>
    </row>
    <row r="8" spans="1:14" ht="39.75" customHeight="1" thickBot="1" x14ac:dyDescent="0.3">
      <c r="A8" s="98"/>
      <c r="B8" s="98"/>
      <c r="C8" s="98"/>
      <c r="D8" s="12" t="s">
        <v>9</v>
      </c>
      <c r="E8" s="12" t="s">
        <v>10</v>
      </c>
      <c r="F8" s="12" t="s">
        <v>11</v>
      </c>
      <c r="G8" s="13" t="s">
        <v>12</v>
      </c>
      <c r="H8" s="13" t="s">
        <v>13</v>
      </c>
    </row>
    <row r="9" spans="1:14" ht="16.5" thickBot="1" x14ac:dyDescent="0.3">
      <c r="A9" s="14">
        <v>1</v>
      </c>
      <c r="B9" s="13">
        <v>2</v>
      </c>
      <c r="C9" s="13">
        <v>3</v>
      </c>
      <c r="D9" s="12">
        <v>4</v>
      </c>
      <c r="E9" s="12">
        <v>5</v>
      </c>
      <c r="F9" s="12">
        <v>6</v>
      </c>
      <c r="G9" s="13">
        <v>7</v>
      </c>
      <c r="H9" s="13">
        <v>8</v>
      </c>
    </row>
    <row r="10" spans="1:14" ht="16.5" thickBot="1" x14ac:dyDescent="0.3">
      <c r="A10" s="70" t="s">
        <v>14</v>
      </c>
      <c r="B10" s="77" t="s">
        <v>15</v>
      </c>
      <c r="C10" s="13">
        <v>2019</v>
      </c>
      <c r="D10" s="15">
        <f t="shared" ref="D10:D15" si="0">SUM(E10:H10)</f>
        <v>2416034.5999999996</v>
      </c>
      <c r="E10" s="16">
        <f>SUM(E38+E141+E115+E190+E162)</f>
        <v>646151.1</v>
      </c>
      <c r="F10" s="17">
        <f t="shared" ref="F10:H15" si="1">SUM(F17+F38+F66+F94+F115+F141+F162+F190)</f>
        <v>1601033.2999999998</v>
      </c>
      <c r="G10" s="17">
        <f t="shared" si="1"/>
        <v>8856.4</v>
      </c>
      <c r="H10" s="17">
        <f t="shared" si="1"/>
        <v>159993.79999999999</v>
      </c>
      <c r="K10" s="3"/>
      <c r="L10" s="3"/>
      <c r="M10" s="4"/>
      <c r="N10" s="1"/>
    </row>
    <row r="11" spans="1:14" ht="16.5" thickBot="1" x14ac:dyDescent="0.3">
      <c r="A11" s="71"/>
      <c r="B11" s="78"/>
      <c r="C11" s="13">
        <v>2020</v>
      </c>
      <c r="D11" s="43">
        <f t="shared" si="0"/>
        <v>2896872.0910399999</v>
      </c>
      <c r="E11" s="44">
        <f>SUM(E18+E39+E67+E95+E116+E142+E163+E191)</f>
        <v>772761.70000000007</v>
      </c>
      <c r="F11" s="45">
        <f t="shared" si="1"/>
        <v>1984349.9910399998</v>
      </c>
      <c r="G11" s="45">
        <f t="shared" si="1"/>
        <v>13860.4</v>
      </c>
      <c r="H11" s="17">
        <f t="shared" si="1"/>
        <v>125900</v>
      </c>
      <c r="J11" s="42"/>
      <c r="K11" s="3"/>
      <c r="L11" s="4"/>
      <c r="M11" s="3"/>
    </row>
    <row r="12" spans="1:14" ht="16.5" thickBot="1" x14ac:dyDescent="0.3">
      <c r="A12" s="71"/>
      <c r="B12" s="78"/>
      <c r="C12" s="13">
        <v>2021</v>
      </c>
      <c r="D12" s="43">
        <f t="shared" si="0"/>
        <v>4027056.5224499996</v>
      </c>
      <c r="E12" s="44">
        <f>SUM(E19+E40+E68+E96+E117+E143+E164+E192)</f>
        <v>598179.5</v>
      </c>
      <c r="F12" s="45">
        <f t="shared" si="1"/>
        <v>1905016.6224499999</v>
      </c>
      <c r="G12" s="45">
        <f t="shared" si="1"/>
        <v>13860.4</v>
      </c>
      <c r="H12" s="17">
        <f t="shared" si="1"/>
        <v>1510000</v>
      </c>
      <c r="K12" s="3"/>
      <c r="L12" s="5"/>
      <c r="M12" s="3"/>
      <c r="N12" s="1"/>
    </row>
    <row r="13" spans="1:14" ht="16.5" thickBot="1" x14ac:dyDescent="0.3">
      <c r="A13" s="71"/>
      <c r="B13" s="78"/>
      <c r="C13" s="13">
        <v>2022</v>
      </c>
      <c r="D13" s="43">
        <f t="shared" si="0"/>
        <v>3348484.9</v>
      </c>
      <c r="E13" s="44">
        <f>SUM(E20+E41+E69+E97+E118+E144+E165+E193)</f>
        <v>584441.59999999998</v>
      </c>
      <c r="F13" s="45">
        <f t="shared" si="1"/>
        <v>1860177.5999999999</v>
      </c>
      <c r="G13" s="45">
        <f t="shared" si="1"/>
        <v>13865.699999999999</v>
      </c>
      <c r="H13" s="17">
        <f t="shared" si="1"/>
        <v>890000</v>
      </c>
      <c r="K13" s="3"/>
      <c r="L13" s="4"/>
      <c r="M13" s="3"/>
    </row>
    <row r="14" spans="1:14" ht="16.5" thickBot="1" x14ac:dyDescent="0.3">
      <c r="A14" s="71"/>
      <c r="B14" s="78"/>
      <c r="C14" s="13">
        <v>2023</v>
      </c>
      <c r="D14" s="43">
        <f>SUM(E14:H14)+0.1</f>
        <v>4443107.0239999993</v>
      </c>
      <c r="E14" s="44"/>
      <c r="F14" s="45">
        <f t="shared" si="1"/>
        <v>1883886.568</v>
      </c>
      <c r="G14" s="45">
        <f t="shared" si="1"/>
        <v>9220.3559999999998</v>
      </c>
      <c r="H14" s="17">
        <f t="shared" si="1"/>
        <v>2550000</v>
      </c>
      <c r="K14" s="3"/>
      <c r="L14" s="3"/>
      <c r="M14" s="3"/>
    </row>
    <row r="15" spans="1:14" ht="16.5" thickBot="1" x14ac:dyDescent="0.3">
      <c r="A15" s="92"/>
      <c r="B15" s="79"/>
      <c r="C15" s="13">
        <v>2024</v>
      </c>
      <c r="D15" s="43">
        <f t="shared" si="0"/>
        <v>3198831.2089600004</v>
      </c>
      <c r="E15" s="44"/>
      <c r="F15" s="45">
        <f t="shared" si="1"/>
        <v>1959242.0347200001</v>
      </c>
      <c r="G15" s="45">
        <f t="shared" si="1"/>
        <v>9589.1742400000003</v>
      </c>
      <c r="H15" s="17">
        <f t="shared" si="1"/>
        <v>1230000</v>
      </c>
      <c r="K15" s="3"/>
      <c r="L15" s="3"/>
      <c r="M15" s="3"/>
    </row>
    <row r="16" spans="1:14" ht="16.5" thickBot="1" x14ac:dyDescent="0.3">
      <c r="A16" s="75" t="s">
        <v>16</v>
      </c>
      <c r="B16" s="76"/>
      <c r="C16" s="13"/>
      <c r="D16" s="45">
        <f>SUM(D10:D15)</f>
        <v>20330386.346450001</v>
      </c>
      <c r="E16" s="45">
        <f>SUM(E10:E15)</f>
        <v>2601533.9</v>
      </c>
      <c r="F16" s="45">
        <f>SUM(F10:F15)</f>
        <v>11193706.116209999</v>
      </c>
      <c r="G16" s="45">
        <f>SUM(G10:G15)+0.1</f>
        <v>69252.530239999993</v>
      </c>
      <c r="H16" s="17">
        <f t="shared" ref="H16" si="2">SUM(H10:H15)</f>
        <v>6465893.7999999998</v>
      </c>
    </row>
    <row r="17" spans="1:8" ht="16.5" thickBot="1" x14ac:dyDescent="0.3">
      <c r="A17" s="77" t="s">
        <v>17</v>
      </c>
      <c r="B17" s="77" t="s">
        <v>18</v>
      </c>
      <c r="C17" s="13">
        <v>2019</v>
      </c>
      <c r="D17" s="43">
        <f>F17</f>
        <v>42240.800000000003</v>
      </c>
      <c r="E17" s="44"/>
      <c r="F17" s="45">
        <f>F24+F31</f>
        <v>42240.800000000003</v>
      </c>
      <c r="G17" s="45"/>
      <c r="H17" s="17"/>
    </row>
    <row r="18" spans="1:8" ht="16.5" thickBot="1" x14ac:dyDescent="0.3">
      <c r="A18" s="78"/>
      <c r="B18" s="78"/>
      <c r="C18" s="13">
        <v>2020</v>
      </c>
      <c r="D18" s="43">
        <f>SUM(F18:G18)</f>
        <v>48009.600000000006</v>
      </c>
      <c r="E18" s="44"/>
      <c r="F18" s="45">
        <f>F25+F32-0.1</f>
        <v>47875.600000000006</v>
      </c>
      <c r="G18" s="45">
        <f t="shared" ref="G18:G22" si="3">G32</f>
        <v>134</v>
      </c>
      <c r="H18" s="17"/>
    </row>
    <row r="19" spans="1:8" ht="16.5" thickBot="1" x14ac:dyDescent="0.3">
      <c r="A19" s="78"/>
      <c r="B19" s="78"/>
      <c r="C19" s="13">
        <v>2021</v>
      </c>
      <c r="D19" s="43">
        <f t="shared" ref="D19:D22" si="4">SUM(F19:G19)</f>
        <v>51926.400000000001</v>
      </c>
      <c r="E19" s="44"/>
      <c r="F19" s="45">
        <f t="shared" ref="F19:F21" si="5">F26+F33</f>
        <v>51792.4</v>
      </c>
      <c r="G19" s="45">
        <f t="shared" si="3"/>
        <v>134</v>
      </c>
      <c r="H19" s="17"/>
    </row>
    <row r="20" spans="1:8" ht="16.5" thickBot="1" x14ac:dyDescent="0.3">
      <c r="A20" s="78"/>
      <c r="B20" s="78"/>
      <c r="C20" s="13">
        <v>2022</v>
      </c>
      <c r="D20" s="43">
        <f t="shared" si="4"/>
        <v>53954.700000000004</v>
      </c>
      <c r="E20" s="44"/>
      <c r="F20" s="45">
        <f t="shared" si="5"/>
        <v>53815.4</v>
      </c>
      <c r="G20" s="45">
        <f t="shared" si="3"/>
        <v>139.30000000000001</v>
      </c>
      <c r="H20" s="17"/>
    </row>
    <row r="21" spans="1:8" ht="16.5" thickBot="1" x14ac:dyDescent="0.3">
      <c r="A21" s="78"/>
      <c r="B21" s="78"/>
      <c r="C21" s="13">
        <v>2023</v>
      </c>
      <c r="D21" s="43">
        <f t="shared" si="4"/>
        <v>56112.916000000005</v>
      </c>
      <c r="E21" s="44"/>
      <c r="F21" s="45">
        <f t="shared" si="5"/>
        <v>55968.016000000003</v>
      </c>
      <c r="G21" s="45">
        <f t="shared" si="3"/>
        <v>144.9</v>
      </c>
      <c r="H21" s="17"/>
    </row>
    <row r="22" spans="1:8" ht="16.5" thickBot="1" x14ac:dyDescent="0.3">
      <c r="A22" s="79"/>
      <c r="B22" s="79"/>
      <c r="C22" s="13">
        <v>2024</v>
      </c>
      <c r="D22" s="43">
        <f t="shared" si="4"/>
        <v>58357.43664</v>
      </c>
      <c r="E22" s="44"/>
      <c r="F22" s="45">
        <f>F29+F36+0.1</f>
        <v>58206.736640000003</v>
      </c>
      <c r="G22" s="46">
        <f t="shared" si="3"/>
        <v>150.69999999999999</v>
      </c>
      <c r="H22" s="17"/>
    </row>
    <row r="23" spans="1:8" ht="16.5" thickBot="1" x14ac:dyDescent="0.3">
      <c r="A23" s="75" t="s">
        <v>16</v>
      </c>
      <c r="B23" s="76"/>
      <c r="C23" s="13"/>
      <c r="D23" s="43">
        <f>SUM(D17:D22)-0.1</f>
        <v>310601.75264000008</v>
      </c>
      <c r="E23" s="47"/>
      <c r="F23" s="43">
        <f>SUM(F17:F22)-0.1</f>
        <v>309898.85264000006</v>
      </c>
      <c r="G23" s="47">
        <f>SUM(G17:G22)</f>
        <v>702.90000000000009</v>
      </c>
      <c r="H23" s="17"/>
    </row>
    <row r="24" spans="1:8" ht="16.5" thickBot="1" x14ac:dyDescent="0.3">
      <c r="A24" s="77" t="s">
        <v>19</v>
      </c>
      <c r="B24" s="77" t="s">
        <v>18</v>
      </c>
      <c r="C24" s="13">
        <v>2019</v>
      </c>
      <c r="D24" s="43">
        <v>37442</v>
      </c>
      <c r="E24" s="44"/>
      <c r="F24" s="45">
        <v>37442</v>
      </c>
      <c r="G24" s="45"/>
      <c r="H24" s="17"/>
    </row>
    <row r="25" spans="1:8" ht="16.5" thickBot="1" x14ac:dyDescent="0.3">
      <c r="A25" s="78"/>
      <c r="B25" s="78"/>
      <c r="C25" s="13">
        <v>2020</v>
      </c>
      <c r="D25" s="43">
        <f>SUM(E25:H25)</f>
        <v>38815.300000000003</v>
      </c>
      <c r="E25" s="44"/>
      <c r="F25" s="45">
        <v>38815.300000000003</v>
      </c>
      <c r="G25" s="45"/>
      <c r="H25" s="17"/>
    </row>
    <row r="26" spans="1:8" ht="16.5" thickBot="1" x14ac:dyDescent="0.3">
      <c r="A26" s="78"/>
      <c r="B26" s="78"/>
      <c r="C26" s="13">
        <v>2021</v>
      </c>
      <c r="D26" s="43">
        <f t="shared" ref="D26:D29" si="6">SUM(E26:H26)</f>
        <v>41240</v>
      </c>
      <c r="E26" s="44"/>
      <c r="F26" s="47">
        <v>41240</v>
      </c>
      <c r="G26" s="45"/>
      <c r="H26" s="17"/>
    </row>
    <row r="27" spans="1:8" ht="16.5" thickBot="1" x14ac:dyDescent="0.3">
      <c r="A27" s="78"/>
      <c r="B27" s="78"/>
      <c r="C27" s="13">
        <v>2022</v>
      </c>
      <c r="D27" s="43">
        <v>42800</v>
      </c>
      <c r="E27" s="44"/>
      <c r="F27" s="45">
        <v>42800</v>
      </c>
      <c r="G27" s="45"/>
      <c r="H27" s="17"/>
    </row>
    <row r="28" spans="1:8" ht="16.5" thickBot="1" x14ac:dyDescent="0.3">
      <c r="A28" s="78"/>
      <c r="B28" s="78"/>
      <c r="C28" s="13">
        <v>2023</v>
      </c>
      <c r="D28" s="43">
        <f t="shared" si="6"/>
        <v>44512</v>
      </c>
      <c r="E28" s="44"/>
      <c r="F28" s="45">
        <f>F27*1.04</f>
        <v>44512</v>
      </c>
      <c r="G28" s="45"/>
      <c r="H28" s="17"/>
    </row>
    <row r="29" spans="1:8" ht="16.5" thickBot="1" x14ac:dyDescent="0.3">
      <c r="A29" s="79"/>
      <c r="B29" s="79"/>
      <c r="C29" s="13">
        <v>2024</v>
      </c>
      <c r="D29" s="43">
        <f t="shared" si="6"/>
        <v>46292.480000000003</v>
      </c>
      <c r="E29" s="44"/>
      <c r="F29" s="45">
        <f>F28*1.04</f>
        <v>46292.480000000003</v>
      </c>
      <c r="G29" s="45"/>
      <c r="H29" s="17"/>
    </row>
    <row r="30" spans="1:8" ht="16.5" thickBot="1" x14ac:dyDescent="0.3">
      <c r="A30" s="75" t="s">
        <v>16</v>
      </c>
      <c r="B30" s="76"/>
      <c r="C30" s="13"/>
      <c r="D30" s="48">
        <f>SUM(D24:D29)</f>
        <v>251101.78</v>
      </c>
      <c r="E30" s="47"/>
      <c r="F30" s="49">
        <f t="shared" ref="F30" si="7">SUM(F24:F29)</f>
        <v>251101.78</v>
      </c>
      <c r="G30" s="45"/>
      <c r="H30" s="17"/>
    </row>
    <row r="31" spans="1:8" ht="16.5" thickBot="1" x14ac:dyDescent="0.3">
      <c r="A31" s="77" t="s">
        <v>20</v>
      </c>
      <c r="B31" s="77" t="s">
        <v>18</v>
      </c>
      <c r="C31" s="13">
        <v>2019</v>
      </c>
      <c r="D31" s="43">
        <v>4798.8</v>
      </c>
      <c r="E31" s="44"/>
      <c r="F31" s="45">
        <f>4798.8</f>
        <v>4798.8</v>
      </c>
      <c r="G31" s="45"/>
      <c r="H31" s="17"/>
    </row>
    <row r="32" spans="1:8" ht="16.5" thickBot="1" x14ac:dyDescent="0.3">
      <c r="A32" s="78"/>
      <c r="B32" s="78"/>
      <c r="C32" s="13">
        <v>2020</v>
      </c>
      <c r="D32" s="43">
        <f>SUM(E32:H32)</f>
        <v>9194.4</v>
      </c>
      <c r="E32" s="44"/>
      <c r="F32" s="45">
        <v>9060.4</v>
      </c>
      <c r="G32" s="45">
        <v>134</v>
      </c>
      <c r="H32" s="17"/>
    </row>
    <row r="33" spans="1:8" ht="16.5" thickBot="1" x14ac:dyDescent="0.3">
      <c r="A33" s="78"/>
      <c r="B33" s="78"/>
      <c r="C33" s="13">
        <v>2021</v>
      </c>
      <c r="D33" s="43">
        <f t="shared" ref="D33:D36" si="8">SUM(E33:H33)</f>
        <v>10686.4</v>
      </c>
      <c r="E33" s="44"/>
      <c r="F33" s="45">
        <f>8081+2471.4</f>
        <v>10552.4</v>
      </c>
      <c r="G33" s="45">
        <v>134</v>
      </c>
      <c r="H33" s="17"/>
    </row>
    <row r="34" spans="1:8" ht="16.5" thickBot="1" x14ac:dyDescent="0.3">
      <c r="A34" s="78"/>
      <c r="B34" s="78"/>
      <c r="C34" s="13">
        <v>2022</v>
      </c>
      <c r="D34" s="43">
        <f t="shared" si="8"/>
        <v>11154.699999999999</v>
      </c>
      <c r="E34" s="44"/>
      <c r="F34" s="45">
        <f>8493+2522.4</f>
        <v>11015.4</v>
      </c>
      <c r="G34" s="45">
        <v>139.30000000000001</v>
      </c>
      <c r="H34" s="17"/>
    </row>
    <row r="35" spans="1:8" ht="16.5" thickBot="1" x14ac:dyDescent="0.3">
      <c r="A35" s="78"/>
      <c r="B35" s="78"/>
      <c r="C35" s="13">
        <v>2023</v>
      </c>
      <c r="D35" s="43">
        <f t="shared" si="8"/>
        <v>11600.915999999999</v>
      </c>
      <c r="E35" s="44"/>
      <c r="F35" s="45">
        <f>F34*1.04</f>
        <v>11456.016</v>
      </c>
      <c r="G35" s="45">
        <v>144.9</v>
      </c>
      <c r="H35" s="17"/>
    </row>
    <row r="36" spans="1:8" ht="16.5" thickBot="1" x14ac:dyDescent="0.3">
      <c r="A36" s="79"/>
      <c r="B36" s="79"/>
      <c r="C36" s="13">
        <v>2024</v>
      </c>
      <c r="D36" s="43">
        <f t="shared" si="8"/>
        <v>12064.85664</v>
      </c>
      <c r="E36" s="44"/>
      <c r="F36" s="45">
        <f>F35*1.04-0.1</f>
        <v>11914.156639999999</v>
      </c>
      <c r="G36" s="45">
        <v>150.69999999999999</v>
      </c>
      <c r="H36" s="17"/>
    </row>
    <row r="37" spans="1:8" ht="16.5" thickBot="1" x14ac:dyDescent="0.3">
      <c r="A37" s="75" t="s">
        <v>16</v>
      </c>
      <c r="B37" s="76"/>
      <c r="C37" s="13"/>
      <c r="D37" s="43">
        <f>SUM(D31:D36)</f>
        <v>59500.072639999991</v>
      </c>
      <c r="E37" s="47"/>
      <c r="F37" s="47">
        <f>SUM(F31:F36)</f>
        <v>58797.172640000004</v>
      </c>
      <c r="G37" s="47">
        <f t="shared" ref="G37" si="9">SUM(G31:G36)</f>
        <v>702.90000000000009</v>
      </c>
      <c r="H37" s="17"/>
    </row>
    <row r="38" spans="1:8" ht="16.5" thickBot="1" x14ac:dyDescent="0.3">
      <c r="A38" s="70" t="s">
        <v>21</v>
      </c>
      <c r="B38" s="77" t="s">
        <v>18</v>
      </c>
      <c r="C38" s="13">
        <v>2019</v>
      </c>
      <c r="D38" s="43">
        <f>D49+D56+D61</f>
        <v>47821.3</v>
      </c>
      <c r="E38" s="44">
        <f>E49+E56+E61</f>
        <v>21351.9</v>
      </c>
      <c r="F38" s="45">
        <v>26469.4</v>
      </c>
      <c r="G38" s="45"/>
      <c r="H38" s="17"/>
    </row>
    <row r="39" spans="1:8" ht="16.5" thickBot="1" x14ac:dyDescent="0.3">
      <c r="A39" s="71"/>
      <c r="B39" s="78"/>
      <c r="C39" s="13">
        <v>2020</v>
      </c>
      <c r="D39" s="43">
        <f>SUM(E39:F39)</f>
        <v>66750.399999999994</v>
      </c>
      <c r="E39" s="44">
        <f>SUM(E46+E50+E57+E62)</f>
        <v>40437.1</v>
      </c>
      <c r="F39" s="45">
        <f>SUM(F46+F50+F57+F61)</f>
        <v>26313.3</v>
      </c>
      <c r="G39" s="45"/>
      <c r="H39" s="17"/>
    </row>
    <row r="40" spans="1:8" ht="16.5" thickBot="1" x14ac:dyDescent="0.3">
      <c r="A40" s="71"/>
      <c r="B40" s="78"/>
      <c r="C40" s="13">
        <v>2021</v>
      </c>
      <c r="D40" s="43">
        <f>SUM(E40:F40)</f>
        <v>118412.1</v>
      </c>
      <c r="E40" s="44">
        <f>SUM(E47+E51+E58+E63)</f>
        <v>88399.1</v>
      </c>
      <c r="F40" s="45">
        <f>SUM(F47+F51+F58+F63)</f>
        <v>30013</v>
      </c>
      <c r="G40" s="45"/>
      <c r="H40" s="17"/>
    </row>
    <row r="41" spans="1:8" ht="16.5" thickBot="1" x14ac:dyDescent="0.3">
      <c r="A41" s="71"/>
      <c r="B41" s="78"/>
      <c r="C41" s="13">
        <v>2022</v>
      </c>
      <c r="D41" s="43">
        <f>SUM(E41:H41)</f>
        <v>136473.1</v>
      </c>
      <c r="E41" s="44">
        <f>SUM(E48+E52+E59+E64)</f>
        <v>105259.1</v>
      </c>
      <c r="F41" s="45">
        <f>SUM(F52)</f>
        <v>31214</v>
      </c>
      <c r="G41" s="45"/>
      <c r="H41" s="17"/>
    </row>
    <row r="42" spans="1:8" ht="16.5" thickBot="1" x14ac:dyDescent="0.3">
      <c r="A42" s="71"/>
      <c r="B42" s="78"/>
      <c r="C42" s="13">
        <v>2023</v>
      </c>
      <c r="D42" s="43">
        <f t="shared" ref="D42:D43" si="10">SUM(E42:H42)</f>
        <v>32462.560000000001</v>
      </c>
      <c r="E42" s="44"/>
      <c r="F42" s="45">
        <f>F53</f>
        <v>32462.560000000001</v>
      </c>
      <c r="G42" s="45"/>
      <c r="H42" s="17"/>
    </row>
    <row r="43" spans="1:8" ht="16.5" thickBot="1" x14ac:dyDescent="0.3">
      <c r="A43" s="92"/>
      <c r="B43" s="79"/>
      <c r="C43" s="13">
        <v>2024</v>
      </c>
      <c r="D43" s="43">
        <f t="shared" si="10"/>
        <v>33761.062400000003</v>
      </c>
      <c r="E43" s="44"/>
      <c r="F43" s="45">
        <f>F54</f>
        <v>33761.062400000003</v>
      </c>
      <c r="G43" s="45"/>
      <c r="H43" s="17"/>
    </row>
    <row r="44" spans="1:8" ht="16.5" thickBot="1" x14ac:dyDescent="0.3">
      <c r="A44" s="75" t="s">
        <v>16</v>
      </c>
      <c r="B44" s="76"/>
      <c r="C44" s="13"/>
      <c r="D44" s="47">
        <f>SUM(D38:D43)</f>
        <v>435680.52240000002</v>
      </c>
      <c r="E44" s="47">
        <f>SUM(E38:E43)</f>
        <v>255447.2</v>
      </c>
      <c r="F44" s="49">
        <f t="shared" ref="F44" si="11">SUM(F38:F43)</f>
        <v>180233.3224</v>
      </c>
      <c r="G44" s="45"/>
      <c r="H44" s="17"/>
    </row>
    <row r="45" spans="1:8" ht="16.5" hidden="1" thickBot="1" x14ac:dyDescent="0.3">
      <c r="A45" s="93" t="s">
        <v>22</v>
      </c>
      <c r="B45" s="93" t="s">
        <v>18</v>
      </c>
      <c r="C45" s="20">
        <v>2019</v>
      </c>
      <c r="D45" s="43">
        <v>0</v>
      </c>
      <c r="E45" s="44"/>
      <c r="F45" s="45">
        <v>0</v>
      </c>
      <c r="G45" s="50"/>
      <c r="H45" s="21"/>
    </row>
    <row r="46" spans="1:8" ht="16.5" hidden="1" thickBot="1" x14ac:dyDescent="0.3">
      <c r="A46" s="94"/>
      <c r="B46" s="94"/>
      <c r="C46" s="20">
        <v>2020</v>
      </c>
      <c r="D46" s="43">
        <v>0</v>
      </c>
      <c r="E46" s="44"/>
      <c r="F46" s="45">
        <v>0</v>
      </c>
      <c r="G46" s="50"/>
      <c r="H46" s="21"/>
    </row>
    <row r="47" spans="1:8" ht="16.5" hidden="1" thickBot="1" x14ac:dyDescent="0.3">
      <c r="A47" s="95"/>
      <c r="B47" s="95"/>
      <c r="C47" s="20">
        <v>2021</v>
      </c>
      <c r="D47" s="43">
        <v>0</v>
      </c>
      <c r="E47" s="44"/>
      <c r="F47" s="45">
        <v>0</v>
      </c>
      <c r="G47" s="50"/>
      <c r="H47" s="21"/>
    </row>
    <row r="48" spans="1:8" ht="16.5" hidden="1" thickBot="1" x14ac:dyDescent="0.3">
      <c r="A48" s="75" t="s">
        <v>16</v>
      </c>
      <c r="B48" s="76"/>
      <c r="C48" s="13"/>
      <c r="D48" s="43">
        <v>0</v>
      </c>
      <c r="E48" s="51"/>
      <c r="F48" s="44">
        <v>0</v>
      </c>
      <c r="G48" s="45"/>
      <c r="H48" s="17"/>
    </row>
    <row r="49" spans="1:8" ht="16.5" thickBot="1" x14ac:dyDescent="0.3">
      <c r="A49" s="77" t="s">
        <v>23</v>
      </c>
      <c r="B49" s="77" t="s">
        <v>18</v>
      </c>
      <c r="C49" s="13">
        <v>2019</v>
      </c>
      <c r="D49" s="43">
        <v>26469.4</v>
      </c>
      <c r="E49" s="44"/>
      <c r="F49" s="45">
        <v>26469.4</v>
      </c>
      <c r="G49" s="45"/>
      <c r="H49" s="17"/>
    </row>
    <row r="50" spans="1:8" ht="16.5" thickBot="1" x14ac:dyDescent="0.3">
      <c r="A50" s="78"/>
      <c r="B50" s="78"/>
      <c r="C50" s="13">
        <v>2020</v>
      </c>
      <c r="D50" s="43">
        <f>SUM(E50:H50)</f>
        <v>26313.3</v>
      </c>
      <c r="E50" s="44"/>
      <c r="F50" s="45">
        <v>26313.3</v>
      </c>
      <c r="G50" s="45"/>
      <c r="H50" s="17"/>
    </row>
    <row r="51" spans="1:8" ht="16.5" thickBot="1" x14ac:dyDescent="0.3">
      <c r="A51" s="78"/>
      <c r="B51" s="78"/>
      <c r="C51" s="13">
        <v>2021</v>
      </c>
      <c r="D51" s="43">
        <f t="shared" ref="D51:D54" si="12">SUM(E51:H51)</f>
        <v>30013</v>
      </c>
      <c r="E51" s="44"/>
      <c r="F51" s="45">
        <v>30013</v>
      </c>
      <c r="G51" s="45"/>
      <c r="H51" s="17"/>
    </row>
    <row r="52" spans="1:8" ht="16.5" thickBot="1" x14ac:dyDescent="0.3">
      <c r="A52" s="78"/>
      <c r="B52" s="78"/>
      <c r="C52" s="13">
        <v>2022</v>
      </c>
      <c r="D52" s="43">
        <f t="shared" si="12"/>
        <v>31214</v>
      </c>
      <c r="E52" s="44"/>
      <c r="F52" s="45">
        <v>31214</v>
      </c>
      <c r="G52" s="45"/>
      <c r="H52" s="17"/>
    </row>
    <row r="53" spans="1:8" ht="16.5" thickBot="1" x14ac:dyDescent="0.3">
      <c r="A53" s="78"/>
      <c r="B53" s="78"/>
      <c r="C53" s="13">
        <v>2023</v>
      </c>
      <c r="D53" s="43">
        <f t="shared" si="12"/>
        <v>32462.560000000001</v>
      </c>
      <c r="E53" s="44"/>
      <c r="F53" s="45">
        <f>F52*1.04</f>
        <v>32462.560000000001</v>
      </c>
      <c r="G53" s="45"/>
      <c r="H53" s="17"/>
    </row>
    <row r="54" spans="1:8" ht="16.5" thickBot="1" x14ac:dyDescent="0.3">
      <c r="A54" s="79"/>
      <c r="B54" s="79"/>
      <c r="C54" s="13">
        <v>2024</v>
      </c>
      <c r="D54" s="43">
        <f t="shared" si="12"/>
        <v>33761.062400000003</v>
      </c>
      <c r="E54" s="44"/>
      <c r="F54" s="45">
        <f>F53*1.04</f>
        <v>33761.062400000003</v>
      </c>
      <c r="G54" s="45"/>
      <c r="H54" s="17"/>
    </row>
    <row r="55" spans="1:8" ht="16.5" thickBot="1" x14ac:dyDescent="0.3">
      <c r="A55" s="75" t="s">
        <v>16</v>
      </c>
      <c r="B55" s="76"/>
      <c r="C55" s="13"/>
      <c r="D55" s="43">
        <f>SUM(D49:D54)</f>
        <v>180233.3224</v>
      </c>
      <c r="E55" s="47"/>
      <c r="F55" s="47">
        <f t="shared" ref="F55" si="13">SUM(F49:F54)</f>
        <v>180233.3224</v>
      </c>
      <c r="G55" s="45"/>
      <c r="H55" s="17"/>
    </row>
    <row r="56" spans="1:8" ht="21" customHeight="1" thickBot="1" x14ac:dyDescent="0.3">
      <c r="A56" s="83" t="s">
        <v>24</v>
      </c>
      <c r="B56" s="77" t="s">
        <v>18</v>
      </c>
      <c r="C56" s="13">
        <v>2019</v>
      </c>
      <c r="D56" s="43">
        <f>E56</f>
        <v>17155.7</v>
      </c>
      <c r="E56" s="44">
        <v>17155.7</v>
      </c>
      <c r="F56" s="45"/>
      <c r="G56" s="45"/>
      <c r="H56" s="17"/>
    </row>
    <row r="57" spans="1:8" ht="21" customHeight="1" thickBot="1" x14ac:dyDescent="0.3">
      <c r="A57" s="84"/>
      <c r="B57" s="78"/>
      <c r="C57" s="13">
        <v>2020</v>
      </c>
      <c r="D57" s="43">
        <f t="shared" ref="D57:D59" si="14">E57</f>
        <v>17107.099999999999</v>
      </c>
      <c r="E57" s="44">
        <v>17107.099999999999</v>
      </c>
      <c r="F57" s="45"/>
      <c r="G57" s="45"/>
      <c r="H57" s="17"/>
    </row>
    <row r="58" spans="1:8" ht="21" customHeight="1" thickBot="1" x14ac:dyDescent="0.3">
      <c r="A58" s="84"/>
      <c r="B58" s="78"/>
      <c r="C58" s="13">
        <v>2021</v>
      </c>
      <c r="D58" s="43">
        <f t="shared" si="14"/>
        <v>18329.099999999999</v>
      </c>
      <c r="E58" s="44">
        <v>18329.099999999999</v>
      </c>
      <c r="F58" s="45"/>
      <c r="G58" s="45"/>
      <c r="H58" s="17"/>
    </row>
    <row r="59" spans="1:8" ht="21" customHeight="1" thickBot="1" x14ac:dyDescent="0.3">
      <c r="A59" s="86"/>
      <c r="B59" s="90"/>
      <c r="C59" s="13">
        <v>2022</v>
      </c>
      <c r="D59" s="43">
        <f t="shared" si="14"/>
        <v>18329.099999999999</v>
      </c>
      <c r="E59" s="44">
        <v>18329.099999999999</v>
      </c>
      <c r="F59" s="45"/>
      <c r="G59" s="45"/>
      <c r="H59" s="17"/>
    </row>
    <row r="60" spans="1:8" ht="16.5" thickBot="1" x14ac:dyDescent="0.3">
      <c r="A60" s="91" t="s">
        <v>16</v>
      </c>
      <c r="B60" s="82"/>
      <c r="C60" s="13"/>
      <c r="D60" s="43">
        <f>E60</f>
        <v>70921</v>
      </c>
      <c r="E60" s="44">
        <f>SUM(E56:E59)</f>
        <v>70921</v>
      </c>
      <c r="F60" s="45"/>
      <c r="G60" s="45"/>
      <c r="H60" s="17"/>
    </row>
    <row r="61" spans="1:8" ht="16.7" customHeight="1" thickBot="1" x14ac:dyDescent="0.3">
      <c r="A61" s="83" t="s">
        <v>25</v>
      </c>
      <c r="B61" s="77" t="s">
        <v>18</v>
      </c>
      <c r="C61" s="13">
        <v>2019</v>
      </c>
      <c r="D61" s="43">
        <f>E61</f>
        <v>4196.2</v>
      </c>
      <c r="E61" s="44">
        <f>4200-3.8</f>
        <v>4196.2</v>
      </c>
      <c r="F61" s="45"/>
      <c r="G61" s="45"/>
      <c r="H61" s="17"/>
    </row>
    <row r="62" spans="1:8" ht="16.7" customHeight="1" thickBot="1" x14ac:dyDescent="0.3">
      <c r="A62" s="84"/>
      <c r="B62" s="78"/>
      <c r="C62" s="13">
        <v>2020</v>
      </c>
      <c r="D62" s="43">
        <f t="shared" ref="D62:D64" si="15">E62</f>
        <v>23330</v>
      </c>
      <c r="E62" s="44">
        <v>23330</v>
      </c>
      <c r="F62" s="45"/>
      <c r="G62" s="45"/>
      <c r="H62" s="17"/>
    </row>
    <row r="63" spans="1:8" ht="16.7" customHeight="1" thickBot="1" x14ac:dyDescent="0.3">
      <c r="A63" s="84"/>
      <c r="B63" s="78"/>
      <c r="C63" s="13">
        <v>2021</v>
      </c>
      <c r="D63" s="43">
        <f t="shared" si="15"/>
        <v>70070</v>
      </c>
      <c r="E63" s="54">
        <v>70070</v>
      </c>
      <c r="F63" s="45"/>
      <c r="G63" s="45"/>
      <c r="H63" s="17"/>
    </row>
    <row r="64" spans="1:8" ht="16.7" customHeight="1" thickBot="1" x14ac:dyDescent="0.3">
      <c r="A64" s="86"/>
      <c r="B64" s="90"/>
      <c r="C64" s="13">
        <v>2022</v>
      </c>
      <c r="D64" s="43">
        <f t="shared" si="15"/>
        <v>86930</v>
      </c>
      <c r="E64" s="47">
        <v>86930</v>
      </c>
      <c r="F64" s="45"/>
      <c r="G64" s="45"/>
      <c r="H64" s="17"/>
    </row>
    <row r="65" spans="1:10" ht="16.5" thickBot="1" x14ac:dyDescent="0.3">
      <c r="A65" s="91" t="s">
        <v>16</v>
      </c>
      <c r="B65" s="82"/>
      <c r="C65" s="13"/>
      <c r="D65" s="43">
        <f>E65</f>
        <v>184526.2</v>
      </c>
      <c r="E65" s="51">
        <f>SUM(E61:E64)</f>
        <v>184526.2</v>
      </c>
      <c r="F65" s="44"/>
      <c r="G65" s="45"/>
      <c r="H65" s="17"/>
    </row>
    <row r="66" spans="1:10" ht="16.5" thickBot="1" x14ac:dyDescent="0.3">
      <c r="A66" s="77" t="s">
        <v>26</v>
      </c>
      <c r="B66" s="77" t="s">
        <v>18</v>
      </c>
      <c r="C66" s="13">
        <v>2019</v>
      </c>
      <c r="D66" s="43">
        <v>64244.800000000003</v>
      </c>
      <c r="E66" s="44"/>
      <c r="F66" s="45">
        <v>64244.800000000003</v>
      </c>
      <c r="G66" s="45"/>
      <c r="H66" s="17"/>
    </row>
    <row r="67" spans="1:10" ht="16.5" thickBot="1" x14ac:dyDescent="0.3">
      <c r="A67" s="78"/>
      <c r="B67" s="78"/>
      <c r="C67" s="13">
        <v>2020</v>
      </c>
      <c r="D67" s="43">
        <f>SUM(E67:H67)</f>
        <v>93901.9</v>
      </c>
      <c r="E67" s="44"/>
      <c r="F67" s="45">
        <f>SUM(F74+F81+F88)</f>
        <v>93901.9</v>
      </c>
      <c r="G67" s="45"/>
      <c r="H67" s="17"/>
    </row>
    <row r="68" spans="1:10" ht="16.5" thickBot="1" x14ac:dyDescent="0.3">
      <c r="A68" s="78"/>
      <c r="B68" s="78"/>
      <c r="C68" s="13">
        <v>2021</v>
      </c>
      <c r="D68" s="43">
        <f t="shared" ref="D68:D71" si="16">SUM(E68:H68)</f>
        <v>99010.1</v>
      </c>
      <c r="E68" s="44"/>
      <c r="F68" s="45">
        <f>SUM(F75+F82+F89)</f>
        <v>99010.1</v>
      </c>
      <c r="G68" s="45"/>
      <c r="H68" s="17"/>
      <c r="J68" s="42"/>
    </row>
    <row r="69" spans="1:10" ht="16.5" thickBot="1" x14ac:dyDescent="0.3">
      <c r="A69" s="78"/>
      <c r="B69" s="78"/>
      <c r="C69" s="13">
        <v>2022</v>
      </c>
      <c r="D69" s="43">
        <f t="shared" si="16"/>
        <v>119418.09999999999</v>
      </c>
      <c r="E69" s="44"/>
      <c r="F69" s="45">
        <f>SUM(F76+F83+F90)</f>
        <v>119418.09999999999</v>
      </c>
      <c r="G69" s="45"/>
      <c r="H69" s="17"/>
    </row>
    <row r="70" spans="1:10" ht="16.5" thickBot="1" x14ac:dyDescent="0.3">
      <c r="A70" s="78"/>
      <c r="B70" s="78"/>
      <c r="C70" s="13">
        <v>2023</v>
      </c>
      <c r="D70" s="43">
        <f t="shared" si="16"/>
        <v>73496.800000000003</v>
      </c>
      <c r="E70" s="44"/>
      <c r="F70" s="45">
        <f>SUM(F77+F84+F91)</f>
        <v>73496.800000000003</v>
      </c>
      <c r="G70" s="45"/>
      <c r="H70" s="17"/>
    </row>
    <row r="71" spans="1:10" ht="16.5" thickBot="1" x14ac:dyDescent="0.3">
      <c r="A71" s="79"/>
      <c r="B71" s="79"/>
      <c r="C71" s="13">
        <v>2024</v>
      </c>
      <c r="D71" s="43">
        <f t="shared" si="16"/>
        <v>76436.672000000006</v>
      </c>
      <c r="E71" s="44"/>
      <c r="F71" s="45">
        <f>F78+F85+F92</f>
        <v>76436.672000000006</v>
      </c>
      <c r="G71" s="45"/>
      <c r="H71" s="17"/>
    </row>
    <row r="72" spans="1:10" ht="16.5" thickBot="1" x14ac:dyDescent="0.3">
      <c r="A72" s="75" t="s">
        <v>16</v>
      </c>
      <c r="B72" s="76"/>
      <c r="C72" s="13"/>
      <c r="D72" s="48">
        <f>SUM(D66:D71)</f>
        <v>526508.37199999997</v>
      </c>
      <c r="E72" s="47"/>
      <c r="F72" s="52">
        <f t="shared" ref="F72" si="17">SUM(F66:F71)</f>
        <v>526508.37199999997</v>
      </c>
      <c r="G72" s="47"/>
      <c r="H72" s="19"/>
    </row>
    <row r="73" spans="1:10" ht="16.5" thickBot="1" x14ac:dyDescent="0.3">
      <c r="A73" s="77" t="s">
        <v>27</v>
      </c>
      <c r="B73" s="77" t="s">
        <v>18</v>
      </c>
      <c r="C73" s="13">
        <v>2019</v>
      </c>
      <c r="D73" s="43">
        <v>57435.1</v>
      </c>
      <c r="E73" s="44"/>
      <c r="F73" s="45">
        <v>57435.1</v>
      </c>
      <c r="G73" s="45"/>
      <c r="H73" s="17"/>
    </row>
    <row r="74" spans="1:10" ht="16.5" thickBot="1" x14ac:dyDescent="0.3">
      <c r="A74" s="78"/>
      <c r="B74" s="78"/>
      <c r="C74" s="13">
        <v>2020</v>
      </c>
      <c r="D74" s="43">
        <f t="shared" ref="D74:D78" si="18">SUM(E74:H74)</f>
        <v>62528.4</v>
      </c>
      <c r="E74" s="53"/>
      <c r="F74" s="45">
        <f>43582+56.5+18452.9+437</f>
        <v>62528.4</v>
      </c>
      <c r="G74" s="45"/>
      <c r="H74" s="17"/>
    </row>
    <row r="75" spans="1:10" ht="16.5" thickBot="1" x14ac:dyDescent="0.3">
      <c r="A75" s="78"/>
      <c r="B75" s="78"/>
      <c r="C75" s="13">
        <v>2021</v>
      </c>
      <c r="D75" s="43">
        <f t="shared" si="18"/>
        <v>60978.7</v>
      </c>
      <c r="E75" s="44"/>
      <c r="F75" s="45">
        <f>45319+113+15546.7</f>
        <v>60978.7</v>
      </c>
      <c r="G75" s="45"/>
      <c r="H75" s="17"/>
    </row>
    <row r="76" spans="1:10" ht="16.5" thickBot="1" x14ac:dyDescent="0.3">
      <c r="A76" s="78"/>
      <c r="B76" s="78"/>
      <c r="C76" s="13">
        <v>2022</v>
      </c>
      <c r="D76" s="43">
        <f t="shared" si="18"/>
        <v>72875.799999999988</v>
      </c>
      <c r="E76" s="44"/>
      <c r="F76" s="45">
        <f>47127.7+113+25635.1</f>
        <v>72875.799999999988</v>
      </c>
      <c r="G76" s="45"/>
      <c r="H76" s="17"/>
    </row>
    <row r="77" spans="1:10" ht="16.5" thickBot="1" x14ac:dyDescent="0.3">
      <c r="A77" s="78"/>
      <c r="B77" s="78"/>
      <c r="C77" s="13">
        <v>2023</v>
      </c>
      <c r="D77" s="43">
        <f t="shared" si="18"/>
        <v>49012.800000000003</v>
      </c>
      <c r="E77" s="44"/>
      <c r="F77" s="45">
        <v>49012.800000000003</v>
      </c>
      <c r="G77" s="45"/>
      <c r="H77" s="17"/>
    </row>
    <row r="78" spans="1:10" ht="16.5" thickBot="1" x14ac:dyDescent="0.3">
      <c r="A78" s="79"/>
      <c r="B78" s="79"/>
      <c r="C78" s="13">
        <v>2024</v>
      </c>
      <c r="D78" s="43">
        <f t="shared" si="18"/>
        <v>50973.312000000005</v>
      </c>
      <c r="E78" s="44"/>
      <c r="F78" s="45">
        <f>F77*1.04</f>
        <v>50973.312000000005</v>
      </c>
      <c r="G78" s="45"/>
      <c r="H78" s="17"/>
    </row>
    <row r="79" spans="1:10" ht="16.5" thickBot="1" x14ac:dyDescent="0.3">
      <c r="A79" s="75" t="s">
        <v>16</v>
      </c>
      <c r="B79" s="76"/>
      <c r="C79" s="13"/>
      <c r="D79" s="47">
        <f>SUM(D73:D78)</f>
        <v>353804.11199999996</v>
      </c>
      <c r="E79" s="47"/>
      <c r="F79" s="47">
        <f>SUM(F73:F78)</f>
        <v>353804.11199999996</v>
      </c>
      <c r="G79" s="45"/>
      <c r="H79" s="17"/>
    </row>
    <row r="80" spans="1:10" ht="16.5" thickBot="1" x14ac:dyDescent="0.3">
      <c r="A80" s="77" t="s">
        <v>28</v>
      </c>
      <c r="B80" s="77" t="s">
        <v>18</v>
      </c>
      <c r="C80" s="13">
        <v>2019</v>
      </c>
      <c r="D80" s="43">
        <v>6300</v>
      </c>
      <c r="E80" s="44"/>
      <c r="F80" s="45">
        <v>6300</v>
      </c>
      <c r="G80" s="45"/>
      <c r="H80" s="17"/>
    </row>
    <row r="81" spans="1:8" ht="16.5" thickBot="1" x14ac:dyDescent="0.3">
      <c r="A81" s="78"/>
      <c r="B81" s="78"/>
      <c r="C81" s="13">
        <v>2020</v>
      </c>
      <c r="D81" s="43">
        <f>SUM(E81:H81)</f>
        <v>30843.5</v>
      </c>
      <c r="E81" s="44"/>
      <c r="F81" s="45">
        <f>20800+10043.5</f>
        <v>30843.5</v>
      </c>
      <c r="G81" s="45"/>
      <c r="H81" s="17"/>
    </row>
    <row r="82" spans="1:8" ht="16.5" thickBot="1" x14ac:dyDescent="0.3">
      <c r="A82" s="78"/>
      <c r="B82" s="78"/>
      <c r="C82" s="13">
        <v>2021</v>
      </c>
      <c r="D82" s="43">
        <f t="shared" ref="D82:D85" si="19">SUM(E82:H82)</f>
        <v>37026.400000000001</v>
      </c>
      <c r="E82" s="44"/>
      <c r="F82" s="45">
        <f>21632+15394.4</f>
        <v>37026.400000000001</v>
      </c>
      <c r="G82" s="45"/>
      <c r="H82" s="17"/>
    </row>
    <row r="83" spans="1:8" ht="16.5" thickBot="1" x14ac:dyDescent="0.3">
      <c r="A83" s="78"/>
      <c r="B83" s="78"/>
      <c r="C83" s="13">
        <v>2022</v>
      </c>
      <c r="D83" s="43">
        <f t="shared" si="19"/>
        <v>45497.3</v>
      </c>
      <c r="E83" s="44"/>
      <c r="F83" s="45">
        <f>22497.3+23000</f>
        <v>45497.3</v>
      </c>
      <c r="G83" s="45"/>
      <c r="H83" s="17"/>
    </row>
    <row r="84" spans="1:8" ht="16.5" thickBot="1" x14ac:dyDescent="0.3">
      <c r="A84" s="78"/>
      <c r="B84" s="78"/>
      <c r="C84" s="13">
        <v>2023</v>
      </c>
      <c r="D84" s="43">
        <f t="shared" si="19"/>
        <v>23397.200000000001</v>
      </c>
      <c r="E84" s="44"/>
      <c r="F84" s="45">
        <v>23397.200000000001</v>
      </c>
      <c r="G84" s="45"/>
      <c r="H84" s="17"/>
    </row>
    <row r="85" spans="1:8" ht="16.5" thickBot="1" x14ac:dyDescent="0.3">
      <c r="A85" s="79"/>
      <c r="B85" s="79"/>
      <c r="C85" s="13">
        <v>2024</v>
      </c>
      <c r="D85" s="43">
        <f t="shared" si="19"/>
        <v>24333.088000000003</v>
      </c>
      <c r="E85" s="44"/>
      <c r="F85" s="45">
        <f>F84*1.04</f>
        <v>24333.088000000003</v>
      </c>
      <c r="G85" s="45"/>
      <c r="H85" s="17"/>
    </row>
    <row r="86" spans="1:8" ht="16.5" thickBot="1" x14ac:dyDescent="0.3">
      <c r="A86" s="75" t="s">
        <v>16</v>
      </c>
      <c r="B86" s="76"/>
      <c r="C86" s="13"/>
      <c r="D86" s="43">
        <f>SUM(D80:D85)</f>
        <v>167397.48800000001</v>
      </c>
      <c r="E86" s="47"/>
      <c r="F86" s="47">
        <f t="shared" ref="F86" si="20">SUM(F80:F85)</f>
        <v>167397.48800000001</v>
      </c>
      <c r="G86" s="45"/>
      <c r="H86" s="17"/>
    </row>
    <row r="87" spans="1:8" ht="16.5" thickBot="1" x14ac:dyDescent="0.3">
      <c r="A87" s="77" t="s">
        <v>29</v>
      </c>
      <c r="B87" s="77" t="s">
        <v>18</v>
      </c>
      <c r="C87" s="13">
        <v>2019</v>
      </c>
      <c r="D87" s="43">
        <v>509.7</v>
      </c>
      <c r="E87" s="44"/>
      <c r="F87" s="45">
        <v>509.7</v>
      </c>
      <c r="G87" s="45"/>
      <c r="H87" s="17"/>
    </row>
    <row r="88" spans="1:8" ht="16.5" thickBot="1" x14ac:dyDescent="0.3">
      <c r="A88" s="78"/>
      <c r="B88" s="78"/>
      <c r="C88" s="13">
        <v>2020</v>
      </c>
      <c r="D88" s="43">
        <f>SUM(E88:H88)</f>
        <v>530</v>
      </c>
      <c r="E88" s="44"/>
      <c r="F88" s="45">
        <f>967-437</f>
        <v>530</v>
      </c>
      <c r="G88" s="45"/>
      <c r="H88" s="17"/>
    </row>
    <row r="89" spans="1:8" ht="16.5" thickBot="1" x14ac:dyDescent="0.3">
      <c r="A89" s="78"/>
      <c r="B89" s="78"/>
      <c r="C89" s="13">
        <v>2021</v>
      </c>
      <c r="D89" s="43">
        <f t="shared" ref="D89:D92" si="21">SUM(E89:H89)</f>
        <v>1005</v>
      </c>
      <c r="E89" s="44"/>
      <c r="F89" s="45">
        <v>1005</v>
      </c>
      <c r="G89" s="45"/>
      <c r="H89" s="17"/>
    </row>
    <row r="90" spans="1:8" ht="16.5" thickBot="1" x14ac:dyDescent="0.3">
      <c r="A90" s="78"/>
      <c r="B90" s="78"/>
      <c r="C90" s="13">
        <v>2022</v>
      </c>
      <c r="D90" s="43">
        <f t="shared" si="21"/>
        <v>1045</v>
      </c>
      <c r="E90" s="44"/>
      <c r="F90" s="45">
        <v>1045</v>
      </c>
      <c r="G90" s="45"/>
      <c r="H90" s="17"/>
    </row>
    <row r="91" spans="1:8" ht="16.5" thickBot="1" x14ac:dyDescent="0.3">
      <c r="A91" s="78"/>
      <c r="B91" s="78"/>
      <c r="C91" s="13">
        <v>2023</v>
      </c>
      <c r="D91" s="43">
        <f t="shared" si="21"/>
        <v>1086.8</v>
      </c>
      <c r="E91" s="44"/>
      <c r="F91" s="45">
        <f>F90*1.04</f>
        <v>1086.8</v>
      </c>
      <c r="G91" s="45"/>
      <c r="H91" s="17"/>
    </row>
    <row r="92" spans="1:8" ht="16.5" thickBot="1" x14ac:dyDescent="0.3">
      <c r="A92" s="79"/>
      <c r="B92" s="79"/>
      <c r="C92" s="13">
        <v>2024</v>
      </c>
      <c r="D92" s="43">
        <f t="shared" si="21"/>
        <v>1130.2719999999999</v>
      </c>
      <c r="E92" s="44"/>
      <c r="F92" s="45">
        <f>F91*1.04</f>
        <v>1130.2719999999999</v>
      </c>
      <c r="G92" s="45"/>
      <c r="H92" s="17"/>
    </row>
    <row r="93" spans="1:8" ht="16.5" thickBot="1" x14ac:dyDescent="0.3">
      <c r="A93" s="75" t="s">
        <v>16</v>
      </c>
      <c r="B93" s="76"/>
      <c r="C93" s="13"/>
      <c r="D93" s="43">
        <f>SUM(D87:D92)</f>
        <v>5306.7719999999999</v>
      </c>
      <c r="E93" s="47"/>
      <c r="F93" s="47">
        <f t="shared" ref="F93" si="22">SUM(F87:F92)</f>
        <v>5306.7719999999999</v>
      </c>
      <c r="G93" s="45"/>
      <c r="H93" s="17"/>
    </row>
    <row r="94" spans="1:8" ht="16.5" thickBot="1" x14ac:dyDescent="0.3">
      <c r="A94" s="77" t="s">
        <v>30</v>
      </c>
      <c r="B94" s="77" t="s">
        <v>18</v>
      </c>
      <c r="C94" s="13">
        <v>2019</v>
      </c>
      <c r="D94" s="43">
        <v>32399.4</v>
      </c>
      <c r="E94" s="44"/>
      <c r="F94" s="45">
        <v>32399.4</v>
      </c>
      <c r="G94" s="45"/>
      <c r="H94" s="17"/>
    </row>
    <row r="95" spans="1:8" ht="16.5" thickBot="1" x14ac:dyDescent="0.3">
      <c r="A95" s="78"/>
      <c r="B95" s="78"/>
      <c r="C95" s="13">
        <v>2020</v>
      </c>
      <c r="D95" s="43">
        <f>SUM(E95:H95)</f>
        <v>32494.7</v>
      </c>
      <c r="E95" s="44"/>
      <c r="F95" s="45">
        <f>SUM(F102+F109)</f>
        <v>32494.7</v>
      </c>
      <c r="G95" s="45"/>
      <c r="H95" s="17"/>
    </row>
    <row r="96" spans="1:8" ht="16.5" thickBot="1" x14ac:dyDescent="0.3">
      <c r="A96" s="78"/>
      <c r="B96" s="78"/>
      <c r="C96" s="13">
        <v>2021</v>
      </c>
      <c r="D96" s="43">
        <f t="shared" ref="D96:D99" si="23">SUM(E96:H96)</f>
        <v>33185.699999999997</v>
      </c>
      <c r="E96" s="44"/>
      <c r="F96" s="45">
        <f>SUM(F103+F110)</f>
        <v>33185.699999999997</v>
      </c>
      <c r="G96" s="45"/>
      <c r="H96" s="17"/>
    </row>
    <row r="97" spans="1:8" ht="16.5" thickBot="1" x14ac:dyDescent="0.3">
      <c r="A97" s="78"/>
      <c r="B97" s="78"/>
      <c r="C97" s="13">
        <v>2022</v>
      </c>
      <c r="D97" s="43">
        <f t="shared" si="23"/>
        <v>34509.4</v>
      </c>
      <c r="E97" s="44"/>
      <c r="F97" s="45">
        <f>SUM(F104+F111)</f>
        <v>34509.4</v>
      </c>
      <c r="G97" s="45"/>
      <c r="H97" s="17"/>
    </row>
    <row r="98" spans="1:8" ht="16.5" thickBot="1" x14ac:dyDescent="0.3">
      <c r="A98" s="78"/>
      <c r="B98" s="78"/>
      <c r="C98" s="13">
        <v>2023</v>
      </c>
      <c r="D98" s="43">
        <f t="shared" si="23"/>
        <v>35889.675999999999</v>
      </c>
      <c r="E98" s="44"/>
      <c r="F98" s="45">
        <f>F105+F112-0.1</f>
        <v>35889.675999999999</v>
      </c>
      <c r="G98" s="45"/>
      <c r="H98" s="17"/>
    </row>
    <row r="99" spans="1:8" ht="16.5" thickBot="1" x14ac:dyDescent="0.3">
      <c r="A99" s="79"/>
      <c r="B99" s="79"/>
      <c r="C99" s="13">
        <v>2024</v>
      </c>
      <c r="D99" s="43">
        <f t="shared" si="23"/>
        <v>37325.267040000006</v>
      </c>
      <c r="E99" s="44"/>
      <c r="F99" s="45">
        <f>F106+F113-0.1</f>
        <v>37325.267040000006</v>
      </c>
      <c r="G99" s="45"/>
      <c r="H99" s="17"/>
    </row>
    <row r="100" spans="1:8" ht="16.5" thickBot="1" x14ac:dyDescent="0.3">
      <c r="A100" s="75" t="s">
        <v>16</v>
      </c>
      <c r="B100" s="76"/>
      <c r="C100" s="13"/>
      <c r="D100" s="43">
        <f>SUM(D94:D99)+0.1</f>
        <v>205804.24304000003</v>
      </c>
      <c r="E100" s="47"/>
      <c r="F100" s="47">
        <f>SUM(F94:F99)+0.1</f>
        <v>205804.24304000003</v>
      </c>
      <c r="G100" s="45"/>
      <c r="H100" s="17"/>
    </row>
    <row r="101" spans="1:8" ht="16.5" thickBot="1" x14ac:dyDescent="0.3">
      <c r="A101" s="77" t="s">
        <v>31</v>
      </c>
      <c r="B101" s="77" t="s">
        <v>18</v>
      </c>
      <c r="C101" s="13">
        <v>2019</v>
      </c>
      <c r="D101" s="43">
        <v>23975.4</v>
      </c>
      <c r="E101" s="44"/>
      <c r="F101" s="45">
        <v>23975.4</v>
      </c>
      <c r="G101" s="45"/>
      <c r="H101" s="17"/>
    </row>
    <row r="102" spans="1:8" ht="16.5" thickBot="1" x14ac:dyDescent="0.3">
      <c r="A102" s="78"/>
      <c r="B102" s="78"/>
      <c r="C102" s="13">
        <v>2020</v>
      </c>
      <c r="D102" s="43">
        <f>SUM(E102:H102)</f>
        <v>23733.7</v>
      </c>
      <c r="E102" s="44"/>
      <c r="F102" s="45">
        <v>23733.7</v>
      </c>
      <c r="G102" s="45"/>
      <c r="H102" s="17"/>
    </row>
    <row r="103" spans="1:8" ht="16.5" thickBot="1" x14ac:dyDescent="0.3">
      <c r="A103" s="78"/>
      <c r="B103" s="78"/>
      <c r="C103" s="13">
        <v>2021</v>
      </c>
      <c r="D103" s="43">
        <f t="shared" ref="D103:D106" si="24">SUM(E103:H103)</f>
        <v>24074.7</v>
      </c>
      <c r="E103" s="44"/>
      <c r="F103" s="45">
        <v>24074.7</v>
      </c>
      <c r="G103" s="45"/>
      <c r="H103" s="17"/>
    </row>
    <row r="104" spans="1:8" ht="16.5" thickBot="1" x14ac:dyDescent="0.3">
      <c r="A104" s="78"/>
      <c r="B104" s="78"/>
      <c r="C104" s="13">
        <v>2022</v>
      </c>
      <c r="D104" s="43">
        <f t="shared" si="24"/>
        <v>25033.4</v>
      </c>
      <c r="E104" s="44"/>
      <c r="F104" s="45">
        <v>25033.4</v>
      </c>
      <c r="G104" s="45"/>
      <c r="H104" s="17"/>
    </row>
    <row r="105" spans="1:8" ht="16.5" thickBot="1" x14ac:dyDescent="0.3">
      <c r="A105" s="78"/>
      <c r="B105" s="78"/>
      <c r="C105" s="13">
        <v>2023</v>
      </c>
      <c r="D105" s="43">
        <f t="shared" si="24"/>
        <v>26034.736000000001</v>
      </c>
      <c r="E105" s="44"/>
      <c r="F105" s="45">
        <f>F104*1.04</f>
        <v>26034.736000000001</v>
      </c>
      <c r="G105" s="45"/>
      <c r="H105" s="17"/>
    </row>
    <row r="106" spans="1:8" ht="16.5" thickBot="1" x14ac:dyDescent="0.3">
      <c r="A106" s="79"/>
      <c r="B106" s="79"/>
      <c r="C106" s="13">
        <v>2024</v>
      </c>
      <c r="D106" s="43">
        <f t="shared" si="24"/>
        <v>27076.125440000003</v>
      </c>
      <c r="E106" s="44"/>
      <c r="F106" s="45">
        <f>F105*1.04</f>
        <v>27076.125440000003</v>
      </c>
      <c r="G106" s="45"/>
      <c r="H106" s="17"/>
    </row>
    <row r="107" spans="1:8" ht="16.5" thickBot="1" x14ac:dyDescent="0.3">
      <c r="A107" s="75" t="s">
        <v>16</v>
      </c>
      <c r="B107" s="76"/>
      <c r="C107" s="22"/>
      <c r="D107" s="43">
        <f>SUM(D101:D106)-0.1</f>
        <v>149927.96144000001</v>
      </c>
      <c r="E107" s="47"/>
      <c r="F107" s="47">
        <f>SUM(F101:F106)-0.1</f>
        <v>149927.96144000001</v>
      </c>
      <c r="G107" s="45"/>
      <c r="H107" s="17"/>
    </row>
    <row r="108" spans="1:8" ht="16.5" thickBot="1" x14ac:dyDescent="0.3">
      <c r="A108" s="77" t="s">
        <v>32</v>
      </c>
      <c r="B108" s="77" t="s">
        <v>18</v>
      </c>
      <c r="C108" s="13">
        <v>2019</v>
      </c>
      <c r="D108" s="43">
        <v>8424</v>
      </c>
      <c r="E108" s="44"/>
      <c r="F108" s="45">
        <v>8424</v>
      </c>
      <c r="G108" s="45"/>
      <c r="H108" s="17"/>
    </row>
    <row r="109" spans="1:8" ht="16.5" thickBot="1" x14ac:dyDescent="0.3">
      <c r="A109" s="78"/>
      <c r="B109" s="78"/>
      <c r="C109" s="13">
        <v>2020</v>
      </c>
      <c r="D109" s="43">
        <f>SUM(E109:H109)</f>
        <v>8761</v>
      </c>
      <c r="E109" s="44"/>
      <c r="F109" s="45">
        <v>8761</v>
      </c>
      <c r="G109" s="45"/>
      <c r="H109" s="17"/>
    </row>
    <row r="110" spans="1:8" ht="16.5" thickBot="1" x14ac:dyDescent="0.3">
      <c r="A110" s="78"/>
      <c r="B110" s="78"/>
      <c r="C110" s="13">
        <v>2021</v>
      </c>
      <c r="D110" s="43">
        <f t="shared" ref="D110:D113" si="25">SUM(E110:H110)</f>
        <v>9111</v>
      </c>
      <c r="E110" s="44"/>
      <c r="F110" s="45">
        <v>9111</v>
      </c>
      <c r="G110" s="45"/>
      <c r="H110" s="17"/>
    </row>
    <row r="111" spans="1:8" ht="16.5" thickBot="1" x14ac:dyDescent="0.3">
      <c r="A111" s="78"/>
      <c r="B111" s="78"/>
      <c r="C111" s="13">
        <v>2022</v>
      </c>
      <c r="D111" s="43">
        <f t="shared" si="25"/>
        <v>9476</v>
      </c>
      <c r="E111" s="44"/>
      <c r="F111" s="45">
        <v>9476</v>
      </c>
      <c r="G111" s="45"/>
      <c r="H111" s="17"/>
    </row>
    <row r="112" spans="1:8" ht="16.5" thickBot="1" x14ac:dyDescent="0.3">
      <c r="A112" s="78"/>
      <c r="B112" s="78"/>
      <c r="C112" s="13">
        <v>2023</v>
      </c>
      <c r="D112" s="43">
        <f t="shared" si="25"/>
        <v>9855.0400000000009</v>
      </c>
      <c r="E112" s="44"/>
      <c r="F112" s="45">
        <f>F111*1.04</f>
        <v>9855.0400000000009</v>
      </c>
      <c r="G112" s="45"/>
      <c r="H112" s="17"/>
    </row>
    <row r="113" spans="1:10" ht="16.5" thickBot="1" x14ac:dyDescent="0.3">
      <c r="A113" s="79"/>
      <c r="B113" s="79"/>
      <c r="C113" s="13">
        <v>2024</v>
      </c>
      <c r="D113" s="43">
        <f t="shared" si="25"/>
        <v>10249.241600000001</v>
      </c>
      <c r="E113" s="54"/>
      <c r="F113" s="45">
        <f>F112*1.04</f>
        <v>10249.241600000001</v>
      </c>
      <c r="G113" s="45"/>
      <c r="H113" s="17"/>
    </row>
    <row r="114" spans="1:10" ht="16.5" thickBot="1" x14ac:dyDescent="0.3">
      <c r="A114" s="24" t="s">
        <v>16</v>
      </c>
      <c r="B114" s="22"/>
      <c r="C114" s="13"/>
      <c r="D114" s="55">
        <f>SUM(D108:D113)-0.1</f>
        <v>55876.181600000004</v>
      </c>
      <c r="E114" s="47"/>
      <c r="F114" s="47">
        <f>SUM(F108:F113)-0.1</f>
        <v>55876.181600000004</v>
      </c>
      <c r="G114" s="45"/>
      <c r="H114" s="17"/>
    </row>
    <row r="115" spans="1:10" ht="16.5" thickBot="1" x14ac:dyDescent="0.3">
      <c r="A115" s="77" t="s">
        <v>33</v>
      </c>
      <c r="B115" s="77" t="s">
        <v>18</v>
      </c>
      <c r="C115" s="25">
        <v>2019</v>
      </c>
      <c r="D115" s="47">
        <f>SUM(D122++D129+D131+D136)</f>
        <v>1686909.4000000001</v>
      </c>
      <c r="E115" s="47">
        <f>SUM(E122++E129+E131+E136)</f>
        <v>617151.5</v>
      </c>
      <c r="F115" s="45">
        <f>SUM(F122+F129+F131+F136)</f>
        <v>1069623.8999999999</v>
      </c>
      <c r="G115" s="45">
        <f>G129</f>
        <v>134</v>
      </c>
      <c r="H115" s="17"/>
    </row>
    <row r="116" spans="1:10" ht="16.5" thickBot="1" x14ac:dyDescent="0.3">
      <c r="A116" s="78"/>
      <c r="B116" s="78"/>
      <c r="C116" s="13">
        <v>2020</v>
      </c>
      <c r="D116" s="43">
        <f>SUM(E116:G116)</f>
        <v>1713230.2</v>
      </c>
      <c r="E116" s="44">
        <f>SUM(E123+E132+E137)</f>
        <v>551484.30000000005</v>
      </c>
      <c r="F116" s="45">
        <f>SUM(F123++F132+F137)</f>
        <v>1161745.8999999999</v>
      </c>
      <c r="G116" s="45"/>
      <c r="H116" s="17"/>
    </row>
    <row r="117" spans="1:10" ht="16.5" thickBot="1" x14ac:dyDescent="0.3">
      <c r="A117" s="78"/>
      <c r="B117" s="78"/>
      <c r="C117" s="13">
        <v>2021</v>
      </c>
      <c r="D117" s="43">
        <f>SUM(E117:G117)</f>
        <v>1591388.9</v>
      </c>
      <c r="E117" s="44">
        <f>SUM(E124+E133+E138)</f>
        <v>503794</v>
      </c>
      <c r="F117" s="45">
        <f>SUM(F124++F133+F138)</f>
        <v>1087594.8999999999</v>
      </c>
      <c r="G117" s="45"/>
      <c r="H117" s="17"/>
    </row>
    <row r="118" spans="1:10" ht="16.5" thickBot="1" x14ac:dyDescent="0.3">
      <c r="A118" s="78"/>
      <c r="B118" s="78"/>
      <c r="C118" s="13">
        <v>2022</v>
      </c>
      <c r="D118" s="43">
        <f>SUM(E118:G118)</f>
        <v>1613414.1</v>
      </c>
      <c r="E118" s="44">
        <f>SUM(E125+E134+E139)</f>
        <v>472761.9</v>
      </c>
      <c r="F118" s="45">
        <f>SUM(F125)</f>
        <v>1140652.2</v>
      </c>
      <c r="G118" s="45"/>
      <c r="H118" s="17"/>
    </row>
    <row r="119" spans="1:10" ht="16.5" thickBot="1" x14ac:dyDescent="0.3">
      <c r="A119" s="78"/>
      <c r="B119" s="78"/>
      <c r="C119" s="13">
        <v>2023</v>
      </c>
      <c r="D119" s="43">
        <f>SUM(E119:G119)</f>
        <v>1186278.2879999999</v>
      </c>
      <c r="E119" s="44"/>
      <c r="F119" s="45">
        <f>F126</f>
        <v>1186278.2879999999</v>
      </c>
      <c r="G119" s="45"/>
      <c r="H119" s="17"/>
    </row>
    <row r="120" spans="1:10" ht="16.5" thickBot="1" x14ac:dyDescent="0.3">
      <c r="A120" s="79"/>
      <c r="B120" s="79"/>
      <c r="C120" s="13">
        <v>2024</v>
      </c>
      <c r="D120" s="43">
        <f t="shared" ref="D120" si="26">SUM(E120:G120)</f>
        <v>1233729.41952</v>
      </c>
      <c r="E120" s="44"/>
      <c r="F120" s="45">
        <f>F127</f>
        <v>1233729.41952</v>
      </c>
      <c r="G120" s="45"/>
      <c r="H120" s="17"/>
    </row>
    <row r="121" spans="1:10" ht="16.5" thickBot="1" x14ac:dyDescent="0.3">
      <c r="A121" s="75" t="s">
        <v>16</v>
      </c>
      <c r="B121" s="76"/>
      <c r="C121" s="13"/>
      <c r="D121" s="43">
        <f>SUM(D115:D120)</f>
        <v>9024950.3075199984</v>
      </c>
      <c r="E121" s="47">
        <f>SUM(E115:E120)</f>
        <v>2145191.7000000002</v>
      </c>
      <c r="F121" s="47">
        <f t="shared" ref="F121" si="27">SUM(F115:F120)</f>
        <v>6879624.6075199991</v>
      </c>
      <c r="G121" s="47">
        <f>SUM(G115:G120)</f>
        <v>134</v>
      </c>
      <c r="H121" s="17"/>
    </row>
    <row r="122" spans="1:10" ht="16.5" thickBot="1" x14ac:dyDescent="0.3">
      <c r="A122" s="77" t="s">
        <v>34</v>
      </c>
      <c r="B122" s="77" t="s">
        <v>35</v>
      </c>
      <c r="C122" s="13">
        <v>2019</v>
      </c>
      <c r="D122" s="43">
        <f>SUM(E122:F122)</f>
        <v>1333729.9047900001</v>
      </c>
      <c r="E122" s="44">
        <f>327057.89835+1703.48801+622.81843-437.8-1.5+19515.6</f>
        <v>348460.50478999992</v>
      </c>
      <c r="F122" s="45">
        <f>985294.4-25</f>
        <v>985269.4</v>
      </c>
      <c r="G122" s="45"/>
      <c r="H122" s="17"/>
    </row>
    <row r="123" spans="1:10" ht="16.5" thickBot="1" x14ac:dyDescent="0.3">
      <c r="A123" s="78"/>
      <c r="B123" s="78"/>
      <c r="C123" s="13">
        <v>2020</v>
      </c>
      <c r="D123" s="43">
        <f t="shared" ref="D123" si="28">SUM(E123:F123)</f>
        <v>1388946.9</v>
      </c>
      <c r="E123" s="44">
        <v>326934.2</v>
      </c>
      <c r="F123" s="45">
        <v>1062012.7</v>
      </c>
      <c r="G123" s="45"/>
      <c r="H123" s="17"/>
      <c r="J123" s="2"/>
    </row>
    <row r="124" spans="1:10" ht="16.5" thickBot="1" x14ac:dyDescent="0.3">
      <c r="A124" s="78"/>
      <c r="B124" s="78"/>
      <c r="C124" s="13">
        <v>2021</v>
      </c>
      <c r="D124" s="43">
        <f>SUM(E124:F124)</f>
        <v>1379350.4</v>
      </c>
      <c r="E124" s="54">
        <v>291755.5</v>
      </c>
      <c r="F124" s="45">
        <v>1087594.8999999999</v>
      </c>
      <c r="G124" s="45"/>
      <c r="H124" s="17"/>
    </row>
    <row r="125" spans="1:10" ht="16.5" thickBot="1" x14ac:dyDescent="0.3">
      <c r="A125" s="78"/>
      <c r="B125" s="78"/>
      <c r="C125" s="13">
        <v>2022</v>
      </c>
      <c r="D125" s="43">
        <f>SUM(E125:F125)</f>
        <v>1436435</v>
      </c>
      <c r="E125" s="47">
        <v>295782.8</v>
      </c>
      <c r="F125" s="45">
        <v>1140652.2</v>
      </c>
      <c r="G125" s="45"/>
      <c r="H125" s="17"/>
    </row>
    <row r="126" spans="1:10" ht="16.5" thickBot="1" x14ac:dyDescent="0.3">
      <c r="A126" s="78"/>
      <c r="B126" s="78"/>
      <c r="C126" s="13">
        <v>2023</v>
      </c>
      <c r="D126" s="43">
        <f t="shared" ref="D126:D127" si="29">SUM(E126:F126)</f>
        <v>1186278.2879999999</v>
      </c>
      <c r="E126" s="44"/>
      <c r="F126" s="45">
        <f>F125*1.04</f>
        <v>1186278.2879999999</v>
      </c>
      <c r="G126" s="45"/>
      <c r="H126" s="17"/>
    </row>
    <row r="127" spans="1:10" ht="16.5" thickBot="1" x14ac:dyDescent="0.3">
      <c r="A127" s="79"/>
      <c r="B127" s="79"/>
      <c r="C127" s="13">
        <v>2024</v>
      </c>
      <c r="D127" s="43">
        <f t="shared" si="29"/>
        <v>1233729.41952</v>
      </c>
      <c r="E127" s="44"/>
      <c r="F127" s="45">
        <f>F126*1.04</f>
        <v>1233729.41952</v>
      </c>
      <c r="G127" s="45"/>
      <c r="H127" s="17"/>
    </row>
    <row r="128" spans="1:10" ht="16.5" thickBot="1" x14ac:dyDescent="0.3">
      <c r="A128" s="75" t="s">
        <v>16</v>
      </c>
      <c r="B128" s="76"/>
      <c r="C128" s="13"/>
      <c r="D128" s="47">
        <f>SUM(D122:D127)</f>
        <v>7958469.9123099996</v>
      </c>
      <c r="E128" s="47">
        <f>SUM(E122:E127)</f>
        <v>1262933.0047899999</v>
      </c>
      <c r="F128" s="43">
        <f>SUM(F122:F127)</f>
        <v>6695536.9075199999</v>
      </c>
      <c r="G128" s="44"/>
      <c r="H128" s="17"/>
    </row>
    <row r="129" spans="1:8" ht="49.5" customHeight="1" thickBot="1" x14ac:dyDescent="0.3">
      <c r="A129" s="40" t="s">
        <v>36</v>
      </c>
      <c r="B129" s="40" t="s">
        <v>18</v>
      </c>
      <c r="C129" s="13">
        <v>2019</v>
      </c>
      <c r="D129" s="43">
        <f>SUM(E129:H129)</f>
        <v>2510</v>
      </c>
      <c r="E129" s="44"/>
      <c r="F129" s="45">
        <v>2376</v>
      </c>
      <c r="G129" s="45">
        <v>134</v>
      </c>
      <c r="H129" s="17"/>
    </row>
    <row r="130" spans="1:8" ht="16.5" thickBot="1" x14ac:dyDescent="0.3">
      <c r="A130" s="75" t="s">
        <v>16</v>
      </c>
      <c r="B130" s="76"/>
      <c r="C130" s="13"/>
      <c r="D130" s="43">
        <f>SUM(D129:D129)</f>
        <v>2510</v>
      </c>
      <c r="E130" s="44"/>
      <c r="F130" s="45">
        <f>SUM(F129:F129)</f>
        <v>2376</v>
      </c>
      <c r="G130" s="45">
        <f>SUM(G129:G129)</f>
        <v>134</v>
      </c>
      <c r="H130" s="16"/>
    </row>
    <row r="131" spans="1:8" ht="16.5" customHeight="1" thickBot="1" x14ac:dyDescent="0.3">
      <c r="A131" s="87" t="s">
        <v>37</v>
      </c>
      <c r="B131" s="77" t="s">
        <v>18</v>
      </c>
      <c r="C131" s="33">
        <v>2019</v>
      </c>
      <c r="D131" s="43">
        <f>SUM(E131:F131)</f>
        <v>145461.79521000001</v>
      </c>
      <c r="E131" s="44">
        <f>65370.30165-1703.48801-622.81843+437.8+1.5</f>
        <v>63483.295210000004</v>
      </c>
      <c r="F131" s="45">
        <v>81978.5</v>
      </c>
      <c r="G131" s="45"/>
      <c r="H131" s="16"/>
    </row>
    <row r="132" spans="1:8" ht="16.5" thickBot="1" x14ac:dyDescent="0.3">
      <c r="A132" s="88"/>
      <c r="B132" s="78"/>
      <c r="C132" s="14">
        <v>2020</v>
      </c>
      <c r="D132" s="43">
        <f>SUM(E132:H132)</f>
        <v>220478.5</v>
      </c>
      <c r="E132" s="44">
        <v>120745.3</v>
      </c>
      <c r="F132" s="45">
        <f>3150+96583.2</f>
        <v>99733.2</v>
      </c>
      <c r="G132" s="45"/>
      <c r="H132" s="16"/>
    </row>
    <row r="133" spans="1:8" ht="16.5" thickBot="1" x14ac:dyDescent="0.3">
      <c r="A133" s="88"/>
      <c r="B133" s="78"/>
      <c r="C133" s="14">
        <v>2021</v>
      </c>
      <c r="D133" s="43">
        <f>SUM(E133:H133)</f>
        <v>124758</v>
      </c>
      <c r="E133" s="44">
        <v>124758</v>
      </c>
      <c r="F133" s="45"/>
      <c r="G133" s="45"/>
      <c r="H133" s="17"/>
    </row>
    <row r="134" spans="1:8" ht="16.5" thickBot="1" x14ac:dyDescent="0.3">
      <c r="A134" s="89"/>
      <c r="B134" s="90"/>
      <c r="C134" s="14">
        <v>2022</v>
      </c>
      <c r="D134" s="43">
        <f>SUM(E134:H134)</f>
        <v>169661.2</v>
      </c>
      <c r="E134" s="44">
        <v>169661.2</v>
      </c>
      <c r="F134" s="45"/>
      <c r="G134" s="45"/>
      <c r="H134" s="17"/>
    </row>
    <row r="135" spans="1:8" ht="16.5" thickBot="1" x14ac:dyDescent="0.3">
      <c r="A135" s="75" t="s">
        <v>16</v>
      </c>
      <c r="B135" s="82"/>
      <c r="C135" s="13"/>
      <c r="D135" s="47">
        <f>SUM(D131:D134)</f>
        <v>660359.49521000008</v>
      </c>
      <c r="E135" s="47">
        <f>SUM(E131:E134)</f>
        <v>478647.79521000001</v>
      </c>
      <c r="F135" s="47">
        <f t="shared" ref="F135" si="30">SUM(F131:F133)</f>
        <v>181711.7</v>
      </c>
      <c r="G135" s="45"/>
      <c r="H135" s="17"/>
    </row>
    <row r="136" spans="1:8" ht="16.5" customHeight="1" thickBot="1" x14ac:dyDescent="0.3">
      <c r="A136" s="87" t="s">
        <v>38</v>
      </c>
      <c r="B136" s="77" t="s">
        <v>18</v>
      </c>
      <c r="C136" s="33">
        <v>2019</v>
      </c>
      <c r="D136" s="43">
        <f>SUM(E136:H136)</f>
        <v>205207.7</v>
      </c>
      <c r="E136" s="44">
        <v>205207.7</v>
      </c>
      <c r="F136" s="45"/>
      <c r="G136" s="45"/>
      <c r="H136" s="17"/>
    </row>
    <row r="137" spans="1:8" ht="16.5" thickBot="1" x14ac:dyDescent="0.3">
      <c r="A137" s="88"/>
      <c r="B137" s="78"/>
      <c r="C137" s="14">
        <v>2020</v>
      </c>
      <c r="D137" s="43">
        <f>SUM(E137:H137)</f>
        <v>103804.8</v>
      </c>
      <c r="E137" s="44">
        <v>103804.8</v>
      </c>
      <c r="F137" s="45"/>
      <c r="G137" s="45"/>
      <c r="H137" s="17"/>
    </row>
    <row r="138" spans="1:8" ht="16.5" customHeight="1" thickBot="1" x14ac:dyDescent="0.3">
      <c r="A138" s="88"/>
      <c r="B138" s="78"/>
      <c r="C138" s="14">
        <v>2021</v>
      </c>
      <c r="D138" s="43">
        <f t="shared" ref="D138:D139" si="31">SUM(E138:H138)</f>
        <v>87280.5</v>
      </c>
      <c r="E138" s="44">
        <v>87280.5</v>
      </c>
      <c r="F138" s="45"/>
      <c r="G138" s="45"/>
      <c r="H138" s="17"/>
    </row>
    <row r="139" spans="1:8" ht="16.5" customHeight="1" thickBot="1" x14ac:dyDescent="0.3">
      <c r="A139" s="89"/>
      <c r="B139" s="90"/>
      <c r="C139" s="14">
        <v>2022</v>
      </c>
      <c r="D139" s="43">
        <f t="shared" si="31"/>
        <v>7317.9</v>
      </c>
      <c r="E139" s="44">
        <v>7317.9</v>
      </c>
      <c r="F139" s="45"/>
      <c r="G139" s="45"/>
      <c r="H139" s="17"/>
    </row>
    <row r="140" spans="1:8" ht="16.5" thickBot="1" x14ac:dyDescent="0.3">
      <c r="A140" s="75" t="s">
        <v>16</v>
      </c>
      <c r="B140" s="82"/>
      <c r="C140" s="13"/>
      <c r="D140" s="43">
        <f>SUM(D136:D139)</f>
        <v>403610.9</v>
      </c>
      <c r="E140" s="47">
        <f>SUM(E136:E139)</f>
        <v>403610.9</v>
      </c>
      <c r="F140" s="44"/>
      <c r="G140" s="45"/>
      <c r="H140" s="17"/>
    </row>
    <row r="141" spans="1:8" ht="16.5" thickBot="1" x14ac:dyDescent="0.3">
      <c r="A141" s="77" t="s">
        <v>39</v>
      </c>
      <c r="B141" s="77" t="s">
        <v>40</v>
      </c>
      <c r="C141" s="13">
        <v>2019</v>
      </c>
      <c r="D141" s="43">
        <f>SUM(E141:F141)</f>
        <v>69385.5</v>
      </c>
      <c r="E141" s="44">
        <f>E148+E155</f>
        <v>2278.6999999999998</v>
      </c>
      <c r="F141" s="45">
        <v>67106.8</v>
      </c>
      <c r="G141" s="45"/>
      <c r="H141" s="17"/>
    </row>
    <row r="142" spans="1:8" ht="16.5" thickBot="1" x14ac:dyDescent="0.3">
      <c r="A142" s="78"/>
      <c r="B142" s="78"/>
      <c r="C142" s="13">
        <v>2020</v>
      </c>
      <c r="D142" s="43">
        <f>SUM(E142:H142)</f>
        <v>73308.2</v>
      </c>
      <c r="E142" s="44"/>
      <c r="F142" s="45">
        <f>SUM(F149+F156)</f>
        <v>73308.2</v>
      </c>
      <c r="G142" s="45"/>
      <c r="H142" s="17"/>
    </row>
    <row r="143" spans="1:8" ht="16.5" thickBot="1" x14ac:dyDescent="0.3">
      <c r="A143" s="78"/>
      <c r="B143" s="78"/>
      <c r="C143" s="13">
        <v>2021</v>
      </c>
      <c r="D143" s="43">
        <f t="shared" ref="D143:D145" si="32">SUM(E143:H143)</f>
        <v>72389.5</v>
      </c>
      <c r="E143" s="44"/>
      <c r="F143" s="45">
        <f>SUM(F150+F157)</f>
        <v>72389.5</v>
      </c>
      <c r="G143" s="45"/>
      <c r="H143" s="17"/>
    </row>
    <row r="144" spans="1:8" ht="16.5" thickBot="1" x14ac:dyDescent="0.3">
      <c r="A144" s="78"/>
      <c r="B144" s="78"/>
      <c r="C144" s="13">
        <v>2022</v>
      </c>
      <c r="D144" s="43">
        <f t="shared" si="32"/>
        <v>75278.5</v>
      </c>
      <c r="E144" s="44"/>
      <c r="F144" s="45">
        <f>SUM(F151+F158)</f>
        <v>75278.5</v>
      </c>
      <c r="G144" s="45"/>
      <c r="H144" s="17"/>
    </row>
    <row r="145" spans="1:8" ht="16.5" thickBot="1" x14ac:dyDescent="0.3">
      <c r="A145" s="78"/>
      <c r="B145" s="78"/>
      <c r="C145" s="13">
        <v>2023</v>
      </c>
      <c r="D145" s="43">
        <f t="shared" si="32"/>
        <v>78289.627999999997</v>
      </c>
      <c r="E145" s="44"/>
      <c r="F145" s="45">
        <f t="shared" ref="F145" si="33">SUM(F152+F159)</f>
        <v>78289.627999999997</v>
      </c>
      <c r="G145" s="45"/>
      <c r="H145" s="17"/>
    </row>
    <row r="146" spans="1:8" ht="16.5" thickBot="1" x14ac:dyDescent="0.3">
      <c r="A146" s="79"/>
      <c r="B146" s="79"/>
      <c r="C146" s="13">
        <v>2024</v>
      </c>
      <c r="D146" s="43">
        <f>SUM(E146:H146)</f>
        <v>81421.21312</v>
      </c>
      <c r="E146" s="44"/>
      <c r="F146" s="45">
        <f>SUM(F153+F160)</f>
        <v>81421.21312</v>
      </c>
      <c r="G146" s="45"/>
      <c r="H146" s="17"/>
    </row>
    <row r="147" spans="1:8" ht="16.5" thickBot="1" x14ac:dyDescent="0.3">
      <c r="A147" s="75" t="s">
        <v>16</v>
      </c>
      <c r="B147" s="76"/>
      <c r="C147" s="13"/>
      <c r="D147" s="43">
        <f>SUM(D141:D146)</f>
        <v>450072.54111999995</v>
      </c>
      <c r="E147" s="47">
        <f t="shared" ref="E147" si="34">SUM(E141:E146)</f>
        <v>2278.6999999999998</v>
      </c>
      <c r="F147" s="47">
        <f>SUM(F141:F146)</f>
        <v>447793.84112</v>
      </c>
      <c r="G147" s="45"/>
      <c r="H147" s="17"/>
    </row>
    <row r="148" spans="1:8" ht="16.5" thickBot="1" x14ac:dyDescent="0.3">
      <c r="A148" s="77" t="s">
        <v>41</v>
      </c>
      <c r="B148" s="77" t="s">
        <v>40</v>
      </c>
      <c r="C148" s="13">
        <v>2019</v>
      </c>
      <c r="D148" s="43">
        <f>SUM(E148:F148)</f>
        <v>64351.500000000007</v>
      </c>
      <c r="E148" s="44">
        <f>146.7+278.7</f>
        <v>425.4</v>
      </c>
      <c r="F148" s="45">
        <v>63926.100000000006</v>
      </c>
      <c r="G148" s="45"/>
      <c r="H148" s="17"/>
    </row>
    <row r="149" spans="1:8" ht="16.5" thickBot="1" x14ac:dyDescent="0.3">
      <c r="A149" s="78"/>
      <c r="B149" s="78"/>
      <c r="C149" s="13">
        <v>2020</v>
      </c>
      <c r="D149" s="43">
        <f>SUM(E149:F149)</f>
        <v>62065.8</v>
      </c>
      <c r="E149" s="44"/>
      <c r="F149" s="45">
        <v>62065.8</v>
      </c>
      <c r="G149" s="45"/>
      <c r="H149" s="17"/>
    </row>
    <row r="150" spans="1:8" ht="16.5" thickBot="1" x14ac:dyDescent="0.3">
      <c r="A150" s="78"/>
      <c r="B150" s="78"/>
      <c r="C150" s="13">
        <v>2021</v>
      </c>
      <c r="D150" s="43">
        <f t="shared" ref="D150:D153" si="35">SUM(E150:F150)</f>
        <v>69252.3</v>
      </c>
      <c r="E150" s="44"/>
      <c r="F150" s="45">
        <v>69252.3</v>
      </c>
      <c r="G150" s="45"/>
      <c r="H150" s="17"/>
    </row>
    <row r="151" spans="1:8" ht="16.5" thickBot="1" x14ac:dyDescent="0.3">
      <c r="A151" s="78"/>
      <c r="B151" s="78"/>
      <c r="C151" s="13">
        <v>2022</v>
      </c>
      <c r="D151" s="43">
        <f t="shared" si="35"/>
        <v>71317.8</v>
      </c>
      <c r="E151" s="44"/>
      <c r="F151" s="45">
        <v>71317.8</v>
      </c>
      <c r="G151" s="45"/>
      <c r="H151" s="17"/>
    </row>
    <row r="152" spans="1:8" ht="16.5" thickBot="1" x14ac:dyDescent="0.3">
      <c r="A152" s="78"/>
      <c r="B152" s="78"/>
      <c r="C152" s="13">
        <v>2023</v>
      </c>
      <c r="D152" s="43">
        <f t="shared" si="35"/>
        <v>74170.5</v>
      </c>
      <c r="E152" s="44"/>
      <c r="F152" s="45">
        <v>74170.5</v>
      </c>
      <c r="G152" s="45"/>
      <c r="H152" s="17"/>
    </row>
    <row r="153" spans="1:8" ht="16.5" thickBot="1" x14ac:dyDescent="0.3">
      <c r="A153" s="79"/>
      <c r="B153" s="79"/>
      <c r="C153" s="13">
        <v>2024</v>
      </c>
      <c r="D153" s="43">
        <f t="shared" si="35"/>
        <v>77137.320000000007</v>
      </c>
      <c r="E153" s="44"/>
      <c r="F153" s="45">
        <f>F152*1.04</f>
        <v>77137.320000000007</v>
      </c>
      <c r="G153" s="45"/>
      <c r="H153" s="17"/>
    </row>
    <row r="154" spans="1:8" ht="16.5" thickBot="1" x14ac:dyDescent="0.3">
      <c r="A154" s="75" t="s">
        <v>16</v>
      </c>
      <c r="B154" s="76"/>
      <c r="C154" s="13"/>
      <c r="D154" s="47">
        <f>SUM(D148:D153)</f>
        <v>418295.22000000003</v>
      </c>
      <c r="E154" s="47">
        <f t="shared" ref="E154" si="36">SUM(E148:E153)</f>
        <v>425.4</v>
      </c>
      <c r="F154" s="47">
        <f>SUM(F148:F153)</f>
        <v>417869.82</v>
      </c>
      <c r="G154" s="45"/>
      <c r="H154" s="17"/>
    </row>
    <row r="155" spans="1:8" ht="16.5" customHeight="1" thickBot="1" x14ac:dyDescent="0.3">
      <c r="A155" s="83" t="s">
        <v>42</v>
      </c>
      <c r="B155" s="83" t="s">
        <v>40</v>
      </c>
      <c r="C155" s="13">
        <v>2019</v>
      </c>
      <c r="D155" s="43">
        <v>5034</v>
      </c>
      <c r="E155" s="44">
        <v>1853.3</v>
      </c>
      <c r="F155" s="45">
        <v>3180.7</v>
      </c>
      <c r="G155" s="45"/>
      <c r="H155" s="17"/>
    </row>
    <row r="156" spans="1:8" ht="16.5" customHeight="1" thickBot="1" x14ac:dyDescent="0.3">
      <c r="A156" s="84"/>
      <c r="B156" s="84"/>
      <c r="C156" s="13">
        <v>2020</v>
      </c>
      <c r="D156" s="43">
        <f>SUM(E156:H156)</f>
        <v>11242.4</v>
      </c>
      <c r="E156" s="44"/>
      <c r="F156" s="45">
        <v>11242.4</v>
      </c>
      <c r="G156" s="45"/>
      <c r="H156" s="17"/>
    </row>
    <row r="157" spans="1:8" ht="16.5" customHeight="1" thickBot="1" x14ac:dyDescent="0.3">
      <c r="A157" s="84"/>
      <c r="B157" s="84"/>
      <c r="C157" s="13">
        <v>2021</v>
      </c>
      <c r="D157" s="43">
        <f>SUM(E157:H157)</f>
        <v>3137.2</v>
      </c>
      <c r="E157" s="44"/>
      <c r="F157" s="45">
        <v>3137.2</v>
      </c>
      <c r="G157" s="45"/>
      <c r="H157" s="17"/>
    </row>
    <row r="158" spans="1:8" ht="16.5" customHeight="1" thickBot="1" x14ac:dyDescent="0.3">
      <c r="A158" s="84"/>
      <c r="B158" s="84"/>
      <c r="C158" s="13">
        <v>2022</v>
      </c>
      <c r="D158" s="43">
        <f t="shared" ref="D158:D160" si="37">SUM(E158:H158)</f>
        <v>3960.7</v>
      </c>
      <c r="E158" s="44"/>
      <c r="F158" s="45">
        <v>3960.7</v>
      </c>
      <c r="G158" s="45"/>
      <c r="H158" s="17"/>
    </row>
    <row r="159" spans="1:8" ht="16.5" customHeight="1" thickBot="1" x14ac:dyDescent="0.3">
      <c r="A159" s="84"/>
      <c r="B159" s="84"/>
      <c r="C159" s="13">
        <v>2023</v>
      </c>
      <c r="D159" s="43">
        <f t="shared" si="37"/>
        <v>4119.1279999999997</v>
      </c>
      <c r="E159" s="44"/>
      <c r="F159" s="45">
        <f>F158*1.04</f>
        <v>4119.1279999999997</v>
      </c>
      <c r="G159" s="45"/>
      <c r="H159" s="17"/>
    </row>
    <row r="160" spans="1:8" ht="16.5" customHeight="1" thickBot="1" x14ac:dyDescent="0.3">
      <c r="A160" s="85"/>
      <c r="B160" s="86"/>
      <c r="C160" s="13">
        <v>2024</v>
      </c>
      <c r="D160" s="43">
        <f t="shared" si="37"/>
        <v>4283.8931199999997</v>
      </c>
      <c r="E160" s="56"/>
      <c r="F160" s="45">
        <f>F159*1.04</f>
        <v>4283.8931199999997</v>
      </c>
      <c r="G160" s="49"/>
      <c r="H160" s="17"/>
    </row>
    <row r="161" spans="1:8" ht="16.5" thickBot="1" x14ac:dyDescent="0.3">
      <c r="A161" s="75" t="s">
        <v>16</v>
      </c>
      <c r="B161" s="82"/>
      <c r="C161" s="13"/>
      <c r="D161" s="43">
        <f>SUM(D155:D160)</f>
        <v>31777.321120000001</v>
      </c>
      <c r="E161" s="47">
        <f t="shared" ref="E161:F161" si="38">SUM(E155:E160)</f>
        <v>1853.3</v>
      </c>
      <c r="F161" s="47">
        <f t="shared" si="38"/>
        <v>29924.021120000001</v>
      </c>
      <c r="G161" s="45"/>
      <c r="H161" s="17"/>
    </row>
    <row r="162" spans="1:8" ht="16.5" thickBot="1" x14ac:dyDescent="0.3">
      <c r="A162" s="77" t="s">
        <v>43</v>
      </c>
      <c r="B162" s="77" t="s">
        <v>44</v>
      </c>
      <c r="C162" s="13">
        <v>2019</v>
      </c>
      <c r="D162" s="48">
        <f>SUM(D169+D176+D183)</f>
        <v>104175.20000000001</v>
      </c>
      <c r="E162" s="47">
        <f>SUM(E169+E176+E183)</f>
        <v>5369</v>
      </c>
      <c r="F162" s="49">
        <f t="shared" ref="F162" si="39">SUM(F169+F176+F183)</f>
        <v>98806.200000000012</v>
      </c>
      <c r="G162" s="45"/>
      <c r="H162" s="17"/>
    </row>
    <row r="163" spans="1:8" ht="16.5" thickBot="1" x14ac:dyDescent="0.3">
      <c r="A163" s="78"/>
      <c r="B163" s="78"/>
      <c r="C163" s="13">
        <v>2020</v>
      </c>
      <c r="D163" s="43">
        <f>SUM(E163:F163)</f>
        <v>102298.6</v>
      </c>
      <c r="E163" s="47">
        <f>SUM(E170+E177+E184)</f>
        <v>5578.4</v>
      </c>
      <c r="F163" s="45">
        <f>SUM(F170+F177+F184)-0.1</f>
        <v>96720.200000000012</v>
      </c>
      <c r="G163" s="45"/>
      <c r="H163" s="17"/>
    </row>
    <row r="164" spans="1:8" ht="16.5" thickBot="1" x14ac:dyDescent="0.3">
      <c r="A164" s="78"/>
      <c r="B164" s="78"/>
      <c r="C164" s="13">
        <v>2021</v>
      </c>
      <c r="D164" s="43">
        <f>SUM(E164:F164)</f>
        <v>104406.39999999999</v>
      </c>
      <c r="E164" s="47">
        <f t="shared" ref="E164:E165" si="40">SUM(E171+E178+E185)</f>
        <v>5986.4</v>
      </c>
      <c r="F164" s="45">
        <f>SUM(F171+F178+F185)</f>
        <v>98420</v>
      </c>
      <c r="G164" s="45"/>
      <c r="H164" s="17"/>
    </row>
    <row r="165" spans="1:8" ht="16.5" thickBot="1" x14ac:dyDescent="0.3">
      <c r="A165" s="78"/>
      <c r="B165" s="78"/>
      <c r="C165" s="13">
        <v>2022</v>
      </c>
      <c r="D165" s="43">
        <f t="shared" ref="D165:D167" si="41">SUM(E165:F165)</f>
        <v>108721.60000000001</v>
      </c>
      <c r="E165" s="47">
        <f t="shared" si="40"/>
        <v>6420.5999999999995</v>
      </c>
      <c r="F165" s="45">
        <f>SUM(F172+F179+F186)</f>
        <v>102301</v>
      </c>
      <c r="G165" s="45"/>
      <c r="H165" s="17"/>
    </row>
    <row r="166" spans="1:8" ht="16.5" thickBot="1" x14ac:dyDescent="0.3">
      <c r="A166" s="78"/>
      <c r="B166" s="78"/>
      <c r="C166" s="13">
        <v>2023</v>
      </c>
      <c r="D166" s="43">
        <f t="shared" si="41"/>
        <v>106393.04</v>
      </c>
      <c r="E166" s="44"/>
      <c r="F166" s="45">
        <f>SUM(F173+F180+F187)</f>
        <v>106393.04</v>
      </c>
      <c r="G166" s="45"/>
      <c r="H166" s="17"/>
    </row>
    <row r="167" spans="1:8" ht="16.5" thickBot="1" x14ac:dyDescent="0.3">
      <c r="A167" s="79"/>
      <c r="B167" s="79"/>
      <c r="C167" s="13">
        <v>2024</v>
      </c>
      <c r="D167" s="43">
        <f t="shared" si="41"/>
        <v>110648.76160000001</v>
      </c>
      <c r="E167" s="44"/>
      <c r="F167" s="45">
        <f>SUM(F174+F181+F188)</f>
        <v>110648.76160000001</v>
      </c>
      <c r="G167" s="45"/>
      <c r="H167" s="17"/>
    </row>
    <row r="168" spans="1:8" ht="16.5" thickBot="1" x14ac:dyDescent="0.3">
      <c r="A168" s="75" t="s">
        <v>16</v>
      </c>
      <c r="B168" s="76"/>
      <c r="C168" s="13"/>
      <c r="D168" s="47">
        <f>SUM(D162:D167)</f>
        <v>636643.60160000005</v>
      </c>
      <c r="E168" s="47">
        <f>SUM(E162:E167)</f>
        <v>23354.399999999998</v>
      </c>
      <c r="F168" s="47">
        <f>SUM(F162:F167)</f>
        <v>613289.20160000003</v>
      </c>
      <c r="G168" s="45"/>
      <c r="H168" s="17"/>
    </row>
    <row r="169" spans="1:8" ht="16.5" thickBot="1" x14ac:dyDescent="0.3">
      <c r="A169" s="77" t="s">
        <v>45</v>
      </c>
      <c r="B169" s="77" t="s">
        <v>44</v>
      </c>
      <c r="C169" s="13">
        <v>2019</v>
      </c>
      <c r="D169" s="43">
        <f>SUM(E169:H169)</f>
        <v>64453.2</v>
      </c>
      <c r="E169" s="44"/>
      <c r="F169" s="45">
        <f>64453.2</f>
        <v>64453.2</v>
      </c>
      <c r="G169" s="45"/>
      <c r="H169" s="17"/>
    </row>
    <row r="170" spans="1:8" ht="16.5" thickBot="1" x14ac:dyDescent="0.3">
      <c r="A170" s="78"/>
      <c r="B170" s="78"/>
      <c r="C170" s="13">
        <v>2020</v>
      </c>
      <c r="D170" s="43">
        <f>SUM(E170:H170)</f>
        <v>68103.100000000006</v>
      </c>
      <c r="E170" s="44"/>
      <c r="F170" s="45">
        <v>68103.100000000006</v>
      </c>
      <c r="G170" s="45"/>
      <c r="H170" s="17"/>
    </row>
    <row r="171" spans="1:8" ht="16.5" thickBot="1" x14ac:dyDescent="0.3">
      <c r="A171" s="78"/>
      <c r="B171" s="78"/>
      <c r="C171" s="13">
        <v>2021</v>
      </c>
      <c r="D171" s="43">
        <f>SUM(E171:H171)</f>
        <v>68703</v>
      </c>
      <c r="E171" s="44"/>
      <c r="F171" s="45">
        <v>68703</v>
      </c>
      <c r="G171" s="45"/>
      <c r="H171" s="17"/>
    </row>
    <row r="172" spans="1:8" ht="16.5" thickBot="1" x14ac:dyDescent="0.3">
      <c r="A172" s="78"/>
      <c r="B172" s="78"/>
      <c r="C172" s="13">
        <v>2022</v>
      </c>
      <c r="D172" s="43">
        <f>SUM(E172:H172)</f>
        <v>69529.2</v>
      </c>
      <c r="E172" s="44"/>
      <c r="F172" s="45">
        <v>69529.2</v>
      </c>
      <c r="G172" s="45"/>
      <c r="H172" s="17"/>
    </row>
    <row r="173" spans="1:8" ht="16.5" thickBot="1" x14ac:dyDescent="0.3">
      <c r="A173" s="78"/>
      <c r="B173" s="78"/>
      <c r="C173" s="13">
        <v>2023</v>
      </c>
      <c r="D173" s="43">
        <f t="shared" ref="D173:D174" si="42">SUM(E173:H173)</f>
        <v>72310.368000000002</v>
      </c>
      <c r="E173" s="44"/>
      <c r="F173" s="45">
        <f>F172*1.04</f>
        <v>72310.368000000002</v>
      </c>
      <c r="G173" s="45"/>
      <c r="H173" s="17"/>
    </row>
    <row r="174" spans="1:8" ht="16.5" thickBot="1" x14ac:dyDescent="0.3">
      <c r="A174" s="79"/>
      <c r="B174" s="79"/>
      <c r="C174" s="13">
        <v>2024</v>
      </c>
      <c r="D174" s="43">
        <f t="shared" si="42"/>
        <v>75202.782720000003</v>
      </c>
      <c r="E174" s="44"/>
      <c r="F174" s="45">
        <f>F173*1.04</f>
        <v>75202.782720000003</v>
      </c>
      <c r="G174" s="45"/>
      <c r="H174" s="17"/>
    </row>
    <row r="175" spans="1:8" ht="16.5" thickBot="1" x14ac:dyDescent="0.3">
      <c r="A175" s="75" t="s">
        <v>16</v>
      </c>
      <c r="B175" s="76"/>
      <c r="C175" s="13"/>
      <c r="D175" s="43">
        <f>SUM(D169:D174)</f>
        <v>418301.65072000003</v>
      </c>
      <c r="E175" s="47"/>
      <c r="F175" s="47">
        <f>SUM(F169:F174)</f>
        <v>418301.65072000003</v>
      </c>
      <c r="G175" s="45"/>
      <c r="H175" s="17"/>
    </row>
    <row r="176" spans="1:8" ht="16.5" thickBot="1" x14ac:dyDescent="0.3">
      <c r="A176" s="77" t="s">
        <v>46</v>
      </c>
      <c r="B176" s="77" t="s">
        <v>44</v>
      </c>
      <c r="C176" s="13">
        <v>2019</v>
      </c>
      <c r="D176" s="43">
        <f>SUM(E176:F176)</f>
        <v>3311.1</v>
      </c>
      <c r="E176" s="44">
        <v>1702</v>
      </c>
      <c r="F176" s="45">
        <f>1747.1-138</f>
        <v>1609.1</v>
      </c>
      <c r="G176" s="45"/>
      <c r="H176" s="17"/>
    </row>
    <row r="177" spans="1:8" ht="16.5" thickBot="1" x14ac:dyDescent="0.3">
      <c r="A177" s="78"/>
      <c r="B177" s="78"/>
      <c r="C177" s="13">
        <v>2020</v>
      </c>
      <c r="D177" s="43">
        <f>SUM(E177:F177)</f>
        <v>4371.7</v>
      </c>
      <c r="E177" s="44">
        <f>713.9-200</f>
        <v>513.9</v>
      </c>
      <c r="F177" s="45">
        <v>3857.8</v>
      </c>
      <c r="G177" s="45"/>
      <c r="H177" s="17"/>
    </row>
    <row r="178" spans="1:8" ht="16.5" thickBot="1" x14ac:dyDescent="0.3">
      <c r="A178" s="78"/>
      <c r="B178" s="78"/>
      <c r="C178" s="13">
        <v>2021</v>
      </c>
      <c r="D178" s="43">
        <f t="shared" ref="D178:D181" si="43">SUM(E178:F178)</f>
        <v>3874.9</v>
      </c>
      <c r="E178" s="44">
        <v>713.9</v>
      </c>
      <c r="F178" s="45">
        <v>3161</v>
      </c>
      <c r="G178" s="45"/>
      <c r="H178" s="17"/>
    </row>
    <row r="179" spans="1:8" ht="16.5" thickBot="1" x14ac:dyDescent="0.3">
      <c r="A179" s="78"/>
      <c r="B179" s="78"/>
      <c r="C179" s="13">
        <v>2022</v>
      </c>
      <c r="D179" s="43">
        <f t="shared" si="43"/>
        <v>4414.8999999999996</v>
      </c>
      <c r="E179" s="44">
        <v>713.9</v>
      </c>
      <c r="F179" s="45">
        <v>3701</v>
      </c>
      <c r="G179" s="45"/>
      <c r="H179" s="17"/>
    </row>
    <row r="180" spans="1:8" ht="16.5" thickBot="1" x14ac:dyDescent="0.3">
      <c r="A180" s="78"/>
      <c r="B180" s="78"/>
      <c r="C180" s="13">
        <v>2023</v>
      </c>
      <c r="D180" s="43">
        <f t="shared" si="43"/>
        <v>3849.04</v>
      </c>
      <c r="E180" s="44"/>
      <c r="F180" s="45">
        <f>F179*1.04</f>
        <v>3849.04</v>
      </c>
      <c r="G180" s="45"/>
      <c r="H180" s="17"/>
    </row>
    <row r="181" spans="1:8" ht="16.5" thickBot="1" x14ac:dyDescent="0.3">
      <c r="A181" s="79"/>
      <c r="B181" s="79"/>
      <c r="C181" s="13">
        <v>2024</v>
      </c>
      <c r="D181" s="43">
        <f t="shared" si="43"/>
        <v>4003.0016000000001</v>
      </c>
      <c r="E181" s="44"/>
      <c r="F181" s="45">
        <f>F180*1.04</f>
        <v>4003.0016000000001</v>
      </c>
      <c r="G181" s="45"/>
      <c r="H181" s="17"/>
    </row>
    <row r="182" spans="1:8" ht="16.5" thickBot="1" x14ac:dyDescent="0.3">
      <c r="A182" s="75" t="s">
        <v>16</v>
      </c>
      <c r="B182" s="76"/>
      <c r="C182" s="13"/>
      <c r="D182" s="47">
        <f>SUM(D176:D181)</f>
        <v>23824.641599999999</v>
      </c>
      <c r="E182" s="47">
        <f>SUM(E176:E181)</f>
        <v>3643.7000000000003</v>
      </c>
      <c r="F182" s="47">
        <f>SUM(F176:F181)</f>
        <v>20180.941599999998</v>
      </c>
      <c r="G182" s="45"/>
      <c r="H182" s="17"/>
    </row>
    <row r="183" spans="1:8" ht="16.5" thickBot="1" x14ac:dyDescent="0.3">
      <c r="A183" s="77" t="s">
        <v>47</v>
      </c>
      <c r="B183" s="77" t="s">
        <v>44</v>
      </c>
      <c r="C183" s="13">
        <v>2019</v>
      </c>
      <c r="D183" s="43">
        <f>SUM(E183:F183)</f>
        <v>36410.9</v>
      </c>
      <c r="E183" s="44">
        <v>3667</v>
      </c>
      <c r="F183" s="45">
        <f>32605.9+138</f>
        <v>32743.9</v>
      </c>
      <c r="G183" s="45"/>
      <c r="H183" s="17"/>
    </row>
    <row r="184" spans="1:8" ht="16.5" thickBot="1" x14ac:dyDescent="0.3">
      <c r="A184" s="78"/>
      <c r="B184" s="78"/>
      <c r="C184" s="13">
        <v>2020</v>
      </c>
      <c r="D184" s="43">
        <f t="shared" ref="D184:D188" si="44">SUM(E184:F184)</f>
        <v>29823.9</v>
      </c>
      <c r="E184" s="44">
        <f>4864.5+200</f>
        <v>5064.5</v>
      </c>
      <c r="F184" s="45">
        <v>24759.4</v>
      </c>
      <c r="G184" s="45"/>
      <c r="H184" s="17"/>
    </row>
    <row r="185" spans="1:8" ht="16.5" thickBot="1" x14ac:dyDescent="0.3">
      <c r="A185" s="78"/>
      <c r="B185" s="78"/>
      <c r="C185" s="13">
        <v>2021</v>
      </c>
      <c r="D185" s="43">
        <f t="shared" si="44"/>
        <v>31828.5</v>
      </c>
      <c r="E185" s="44">
        <v>5272.5</v>
      </c>
      <c r="F185" s="45">
        <v>26556</v>
      </c>
      <c r="G185" s="45"/>
      <c r="H185" s="17"/>
    </row>
    <row r="186" spans="1:8" ht="16.5" thickBot="1" x14ac:dyDescent="0.3">
      <c r="A186" s="78"/>
      <c r="B186" s="78"/>
      <c r="C186" s="13">
        <v>2022</v>
      </c>
      <c r="D186" s="43">
        <f t="shared" si="44"/>
        <v>34777.5</v>
      </c>
      <c r="E186" s="44">
        <v>5706.7</v>
      </c>
      <c r="F186" s="45">
        <v>29070.799999999999</v>
      </c>
      <c r="G186" s="45"/>
      <c r="H186" s="17"/>
    </row>
    <row r="187" spans="1:8" ht="16.5" thickBot="1" x14ac:dyDescent="0.3">
      <c r="A187" s="78"/>
      <c r="B187" s="78"/>
      <c r="C187" s="13">
        <v>2023</v>
      </c>
      <c r="D187" s="43">
        <f t="shared" si="44"/>
        <v>30233.632000000001</v>
      </c>
      <c r="E187" s="44"/>
      <c r="F187" s="45">
        <f>F186*1.04</f>
        <v>30233.632000000001</v>
      </c>
      <c r="G187" s="45"/>
      <c r="H187" s="17"/>
    </row>
    <row r="188" spans="1:8" ht="16.5" thickBot="1" x14ac:dyDescent="0.3">
      <c r="A188" s="79"/>
      <c r="B188" s="79"/>
      <c r="C188" s="13">
        <v>2024</v>
      </c>
      <c r="D188" s="43">
        <f t="shared" si="44"/>
        <v>31442.977280000003</v>
      </c>
      <c r="E188" s="44"/>
      <c r="F188" s="45">
        <f>F187*1.04</f>
        <v>31442.977280000003</v>
      </c>
      <c r="G188" s="45"/>
      <c r="H188" s="17"/>
    </row>
    <row r="189" spans="1:8" ht="16.5" thickBot="1" x14ac:dyDescent="0.3">
      <c r="A189" s="75" t="s">
        <v>16</v>
      </c>
      <c r="B189" s="76"/>
      <c r="C189" s="13"/>
      <c r="D189" s="43">
        <f>SUM(D183:D188)</f>
        <v>194517.40927999999</v>
      </c>
      <c r="E189" s="47">
        <f t="shared" ref="E189:F189" si="45">SUM(E183:E188)</f>
        <v>19710.7</v>
      </c>
      <c r="F189" s="47">
        <f t="shared" si="45"/>
        <v>174806.70928000001</v>
      </c>
      <c r="G189" s="45"/>
      <c r="H189" s="17"/>
    </row>
    <row r="190" spans="1:8" ht="16.5" customHeight="1" thickBot="1" x14ac:dyDescent="0.3">
      <c r="A190" s="77" t="s">
        <v>48</v>
      </c>
      <c r="B190" s="77" t="s">
        <v>54</v>
      </c>
      <c r="C190" s="13">
        <v>2019</v>
      </c>
      <c r="D190" s="43">
        <f>SUM(E190:H190)</f>
        <v>368858.19999999995</v>
      </c>
      <c r="E190" s="44"/>
      <c r="F190" s="45">
        <f>F197+F204+F211</f>
        <v>200142</v>
      </c>
      <c r="G190" s="45">
        <f>G204</f>
        <v>8722.4</v>
      </c>
      <c r="H190" s="17">
        <f>H197+H204+H219</f>
        <v>159993.79999999999</v>
      </c>
    </row>
    <row r="191" spans="1:8" ht="16.5" thickBot="1" x14ac:dyDescent="0.3">
      <c r="A191" s="78"/>
      <c r="B191" s="78"/>
      <c r="C191" s="13">
        <v>2020</v>
      </c>
      <c r="D191" s="43">
        <f>SUM(E191:H191)</f>
        <v>766878.49103999999</v>
      </c>
      <c r="E191" s="44">
        <f>E216</f>
        <v>175261.9</v>
      </c>
      <c r="F191" s="45">
        <f>F198+F205+F212</f>
        <v>451990.19104000001</v>
      </c>
      <c r="G191" s="45">
        <f>G205+G198</f>
        <v>13726.4</v>
      </c>
      <c r="H191" s="17">
        <f>H198+H205+H220</f>
        <v>125900</v>
      </c>
    </row>
    <row r="192" spans="1:8" ht="16.5" thickBot="1" x14ac:dyDescent="0.3">
      <c r="A192" s="78"/>
      <c r="B192" s="78"/>
      <c r="C192" s="13">
        <v>2021</v>
      </c>
      <c r="D192" s="43">
        <f t="shared" ref="D192:D193" si="46">SUM(E192:H192)</f>
        <v>1956337.42245</v>
      </c>
      <c r="E192" s="44"/>
      <c r="F192" s="45">
        <f>F199+F206+F213</f>
        <v>432611.02244999999</v>
      </c>
      <c r="G192" s="45">
        <f t="shared" ref="G192:G195" si="47">G206+G199</f>
        <v>13726.4</v>
      </c>
      <c r="H192" s="17">
        <f>H199+H206+H221</f>
        <v>1510000</v>
      </c>
    </row>
    <row r="193" spans="1:8" ht="16.5" thickBot="1" x14ac:dyDescent="0.3">
      <c r="A193" s="78"/>
      <c r="B193" s="78"/>
      <c r="C193" s="13">
        <v>2022</v>
      </c>
      <c r="D193" s="43">
        <f t="shared" si="46"/>
        <v>1206715.3999999999</v>
      </c>
      <c r="E193" s="44"/>
      <c r="F193" s="45">
        <f>F200+F207</f>
        <v>302989</v>
      </c>
      <c r="G193" s="45">
        <f t="shared" si="47"/>
        <v>13726.4</v>
      </c>
      <c r="H193" s="17">
        <f>H200+H207</f>
        <v>890000</v>
      </c>
    </row>
    <row r="194" spans="1:8" ht="16.5" thickBot="1" x14ac:dyDescent="0.3">
      <c r="A194" s="78"/>
      <c r="B194" s="78"/>
      <c r="C194" s="13">
        <v>2023</v>
      </c>
      <c r="D194" s="43">
        <f>SUM(E194:H194)+0.1</f>
        <v>2874184.1159999999</v>
      </c>
      <c r="E194" s="44"/>
      <c r="F194" s="45">
        <f>F201+F208</f>
        <v>315108.56</v>
      </c>
      <c r="G194" s="45">
        <f t="shared" si="47"/>
        <v>9075.4560000000001</v>
      </c>
      <c r="H194" s="17">
        <f>H201+H208</f>
        <v>2550000</v>
      </c>
    </row>
    <row r="195" spans="1:8" ht="16.5" thickBot="1" x14ac:dyDescent="0.3">
      <c r="A195" s="79"/>
      <c r="B195" s="79"/>
      <c r="C195" s="13">
        <v>2024</v>
      </c>
      <c r="D195" s="43">
        <f>SUM(E195:H195)</f>
        <v>1567151.3766399999</v>
      </c>
      <c r="E195" s="44"/>
      <c r="F195" s="45">
        <f>F202+F209</f>
        <v>327712.90240000002</v>
      </c>
      <c r="G195" s="45">
        <f t="shared" si="47"/>
        <v>9438.4742399999996</v>
      </c>
      <c r="H195" s="17">
        <f>H209</f>
        <v>1230000</v>
      </c>
    </row>
    <row r="196" spans="1:8" ht="16.5" thickBot="1" x14ac:dyDescent="0.3">
      <c r="A196" s="75" t="s">
        <v>16</v>
      </c>
      <c r="B196" s="76"/>
      <c r="C196" s="13"/>
      <c r="D196" s="43">
        <f>SUM(D190:D195)</f>
        <v>8740125.0061299987</v>
      </c>
      <c r="E196" s="51">
        <f>SUM(E190:E195)</f>
        <v>175261.9</v>
      </c>
      <c r="F196" s="51">
        <f>SUM(F190:F195)</f>
        <v>2030553.6758900001</v>
      </c>
      <c r="G196" s="51">
        <f>SUM(G190:G195)+0.1</f>
        <v>68415.630239999999</v>
      </c>
      <c r="H196" s="16">
        <f>SUM(H190:H195)</f>
        <v>6465893.7999999998</v>
      </c>
    </row>
    <row r="197" spans="1:8" ht="16.5" customHeight="1" thickBot="1" x14ac:dyDescent="0.3">
      <c r="A197" s="77" t="s">
        <v>49</v>
      </c>
      <c r="B197" s="77" t="s">
        <v>54</v>
      </c>
      <c r="C197" s="13">
        <v>2019</v>
      </c>
      <c r="D197" s="43">
        <f>E197+F197+G197+H197</f>
        <v>25623</v>
      </c>
      <c r="E197" s="44"/>
      <c r="F197" s="45">
        <v>25623</v>
      </c>
      <c r="G197" s="46"/>
      <c r="H197" s="17"/>
    </row>
    <row r="198" spans="1:8" ht="16.5" thickBot="1" x14ac:dyDescent="0.3">
      <c r="A198" s="78"/>
      <c r="B198" s="78"/>
      <c r="C198" s="13">
        <v>2020</v>
      </c>
      <c r="D198" s="43">
        <f>E198+F198+G198+H198</f>
        <v>131509.49103999999</v>
      </c>
      <c r="E198" s="44"/>
      <c r="F198" s="57">
        <f>18259.406+8250.08504+100000</f>
        <v>126509.49103999999</v>
      </c>
      <c r="G198" s="47">
        <v>5000</v>
      </c>
      <c r="H198" s="17"/>
    </row>
    <row r="199" spans="1:8" ht="16.5" thickBot="1" x14ac:dyDescent="0.3">
      <c r="A199" s="78"/>
      <c r="B199" s="78"/>
      <c r="C199" s="13">
        <v>2021</v>
      </c>
      <c r="D199" s="43">
        <f t="shared" ref="D199:D202" si="48">E199+F199+G199+H199</f>
        <v>132430.02244999999</v>
      </c>
      <c r="E199" s="44"/>
      <c r="F199" s="48">
        <f>18848.012+8582.01045+100000</f>
        <v>127430.02244999999</v>
      </c>
      <c r="G199" s="47">
        <v>5000</v>
      </c>
      <c r="H199" s="17"/>
    </row>
    <row r="200" spans="1:8" ht="16.5" thickBot="1" x14ac:dyDescent="0.3">
      <c r="A200" s="78"/>
      <c r="B200" s="78"/>
      <c r="C200" s="13">
        <v>2022</v>
      </c>
      <c r="D200" s="43">
        <f t="shared" si="48"/>
        <v>133389</v>
      </c>
      <c r="E200" s="44"/>
      <c r="F200" s="51">
        <f>19460.17+8928.83+100000</f>
        <v>128389</v>
      </c>
      <c r="G200" s="47">
        <v>5000</v>
      </c>
      <c r="H200" s="17"/>
    </row>
    <row r="201" spans="1:8" ht="16.5" thickBot="1" x14ac:dyDescent="0.3">
      <c r="A201" s="78"/>
      <c r="B201" s="78"/>
      <c r="C201" s="13">
        <v>2023</v>
      </c>
      <c r="D201" s="43">
        <f>E201+F201+G201+H201</f>
        <v>133524.56</v>
      </c>
      <c r="E201" s="44"/>
      <c r="F201" s="45">
        <f>F200*1.04</f>
        <v>133524.56</v>
      </c>
      <c r="G201" s="45"/>
      <c r="H201" s="17"/>
    </row>
    <row r="202" spans="1:8" ht="16.5" thickBot="1" x14ac:dyDescent="0.3">
      <c r="A202" s="79"/>
      <c r="B202" s="79"/>
      <c r="C202" s="13">
        <v>2024</v>
      </c>
      <c r="D202" s="43">
        <f t="shared" si="48"/>
        <v>138865.54240000001</v>
      </c>
      <c r="E202" s="44"/>
      <c r="F202" s="45">
        <f>F201*1.04</f>
        <v>138865.54240000001</v>
      </c>
      <c r="G202" s="45"/>
      <c r="H202" s="17"/>
    </row>
    <row r="203" spans="1:8" ht="16.5" thickBot="1" x14ac:dyDescent="0.3">
      <c r="A203" s="80" t="s">
        <v>16</v>
      </c>
      <c r="B203" s="81"/>
      <c r="C203" s="26"/>
      <c r="D203" s="55">
        <f>SUM(D197:D202)</f>
        <v>695341.61589000002</v>
      </c>
      <c r="E203" s="58"/>
      <c r="F203" s="58">
        <f t="shared" ref="F203" si="49">SUM(F197:F202)</f>
        <v>680341.61589000002</v>
      </c>
      <c r="G203" s="58"/>
      <c r="H203" s="29"/>
    </row>
    <row r="204" spans="1:8" ht="16.5" customHeight="1" thickBot="1" x14ac:dyDescent="0.3">
      <c r="A204" s="67" t="s">
        <v>50</v>
      </c>
      <c r="B204" s="70" t="s">
        <v>54</v>
      </c>
      <c r="C204" s="27">
        <v>2019</v>
      </c>
      <c r="D204" s="47">
        <f>E204+F204+G204+H204</f>
        <v>336635.19999999995</v>
      </c>
      <c r="E204" s="47"/>
      <c r="F204" s="47">
        <v>174519</v>
      </c>
      <c r="G204" s="47">
        <v>8722.4</v>
      </c>
      <c r="H204" s="18">
        <f>80801.8+72592</f>
        <v>153393.79999999999</v>
      </c>
    </row>
    <row r="205" spans="1:8" ht="16.5" customHeight="1" thickBot="1" x14ac:dyDescent="0.3">
      <c r="A205" s="68"/>
      <c r="B205" s="71"/>
      <c r="C205" s="27">
        <v>2020</v>
      </c>
      <c r="D205" s="47">
        <f t="shared" ref="D205:D208" si="50">E205+F205+G205+H205</f>
        <v>304326.40000000002</v>
      </c>
      <c r="E205" s="47"/>
      <c r="F205" s="47">
        <f>174600+3000</f>
        <v>177600</v>
      </c>
      <c r="G205" s="47">
        <v>8726.4</v>
      </c>
      <c r="H205" s="23">
        <f>10000+108000</f>
        <v>118000</v>
      </c>
    </row>
    <row r="206" spans="1:8" ht="16.5" customHeight="1" thickBot="1" x14ac:dyDescent="0.3">
      <c r="A206" s="68"/>
      <c r="B206" s="71"/>
      <c r="C206" s="27">
        <v>2021</v>
      </c>
      <c r="D206" s="47">
        <f t="shared" si="50"/>
        <v>313326.40000000002</v>
      </c>
      <c r="E206" s="47"/>
      <c r="F206" s="47">
        <v>174600</v>
      </c>
      <c r="G206" s="47">
        <f>G205</f>
        <v>8726.4</v>
      </c>
      <c r="H206" s="18">
        <f>20000+110000</f>
        <v>130000</v>
      </c>
    </row>
    <row r="207" spans="1:8" ht="16.5" customHeight="1" thickBot="1" x14ac:dyDescent="0.3">
      <c r="A207" s="68"/>
      <c r="B207" s="71"/>
      <c r="C207" s="27">
        <v>2022</v>
      </c>
      <c r="D207" s="47">
        <f t="shared" si="50"/>
        <v>1073326.3999999999</v>
      </c>
      <c r="E207" s="47"/>
      <c r="F207" s="47">
        <v>174600</v>
      </c>
      <c r="G207" s="47">
        <v>8726.4</v>
      </c>
      <c r="H207" s="23">
        <f>650000+240000</f>
        <v>890000</v>
      </c>
    </row>
    <row r="208" spans="1:8" ht="16.5" customHeight="1" thickBot="1" x14ac:dyDescent="0.3">
      <c r="A208" s="68"/>
      <c r="B208" s="71"/>
      <c r="C208" s="27">
        <v>2023</v>
      </c>
      <c r="D208" s="47">
        <f t="shared" si="50"/>
        <v>2740659.4560000002</v>
      </c>
      <c r="E208" s="47"/>
      <c r="F208" s="47">
        <f>F207*1.04</f>
        <v>181584</v>
      </c>
      <c r="G208" s="47">
        <f>G207*1.04</f>
        <v>9075.4560000000001</v>
      </c>
      <c r="H208" s="18">
        <v>2550000</v>
      </c>
    </row>
    <row r="209" spans="1:8" ht="16.5" customHeight="1" thickBot="1" x14ac:dyDescent="0.3">
      <c r="A209" s="69"/>
      <c r="B209" s="72"/>
      <c r="C209" s="27">
        <v>2024</v>
      </c>
      <c r="D209" s="47">
        <f>E209+F209+G209+H209+0.1</f>
        <v>1428285.9342400001</v>
      </c>
      <c r="E209" s="47"/>
      <c r="F209" s="47">
        <f>F208*1.04</f>
        <v>188847.36000000002</v>
      </c>
      <c r="G209" s="47">
        <f>G208*1.04</f>
        <v>9438.4742399999996</v>
      </c>
      <c r="H209" s="16">
        <v>1230000</v>
      </c>
    </row>
    <row r="210" spans="1:8" ht="16.5" thickBot="1" x14ac:dyDescent="0.3">
      <c r="A210" s="73" t="s">
        <v>16</v>
      </c>
      <c r="B210" s="74"/>
      <c r="C210" s="28"/>
      <c r="D210" s="47">
        <f>SUM(D204:D209)</f>
        <v>6196559.7902400009</v>
      </c>
      <c r="E210" s="47"/>
      <c r="F210" s="47">
        <f t="shared" ref="F210:H210" si="51">SUM(F204:F209)</f>
        <v>1071750.3600000001</v>
      </c>
      <c r="G210" s="47">
        <f>SUM(G204:G209)+0.1</f>
        <v>53415.630239999991</v>
      </c>
      <c r="H210" s="18">
        <f t="shared" si="51"/>
        <v>5071393.8</v>
      </c>
    </row>
    <row r="211" spans="1:8" ht="21.95" customHeight="1" thickBot="1" x14ac:dyDescent="0.3">
      <c r="A211" s="70" t="s">
        <v>51</v>
      </c>
      <c r="B211" s="70" t="s">
        <v>54</v>
      </c>
      <c r="C211" s="27">
        <v>2019</v>
      </c>
      <c r="D211" s="47"/>
      <c r="E211" s="47"/>
      <c r="F211" s="59"/>
      <c r="G211" s="47"/>
      <c r="H211" s="18"/>
    </row>
    <row r="212" spans="1:8" ht="21.95" customHeight="1" thickBot="1" x14ac:dyDescent="0.3">
      <c r="A212" s="71"/>
      <c r="B212" s="71"/>
      <c r="C212" s="27">
        <v>2020</v>
      </c>
      <c r="D212" s="47">
        <f>SUM(E212:H212)</f>
        <v>147880.70000000001</v>
      </c>
      <c r="E212" s="48"/>
      <c r="F212" s="47">
        <f>24291.5+100000+23589.2</f>
        <v>147880.70000000001</v>
      </c>
      <c r="G212" s="49"/>
      <c r="H212" s="18"/>
    </row>
    <row r="213" spans="1:8" ht="21.75" customHeight="1" thickBot="1" x14ac:dyDescent="0.3">
      <c r="A213" s="72"/>
      <c r="B213" s="72"/>
      <c r="C213" s="34">
        <v>2021</v>
      </c>
      <c r="D213" s="47">
        <f>SUM(E213:H213)</f>
        <v>130581</v>
      </c>
      <c r="E213" s="57"/>
      <c r="F213" s="44">
        <f>30581+100000</f>
        <v>130581</v>
      </c>
      <c r="G213" s="60"/>
      <c r="H213" s="29"/>
    </row>
    <row r="214" spans="1:8" ht="16.5" thickBot="1" x14ac:dyDescent="0.3">
      <c r="A214" s="73" t="s">
        <v>16</v>
      </c>
      <c r="B214" s="74"/>
      <c r="C214" s="35"/>
      <c r="D214" s="47">
        <f>SUM(D211:D213)</f>
        <v>278461.7</v>
      </c>
      <c r="E214" s="47"/>
      <c r="F214" s="44">
        <f>SUM(F211:F213)</f>
        <v>278461.7</v>
      </c>
      <c r="G214" s="47"/>
      <c r="H214" s="18"/>
    </row>
    <row r="215" spans="1:8" s="41" customFormat="1" ht="27.95" customHeight="1" thickBot="1" x14ac:dyDescent="0.3">
      <c r="A215" s="70" t="s">
        <v>52</v>
      </c>
      <c r="B215" s="70" t="s">
        <v>54</v>
      </c>
      <c r="C215" s="36">
        <v>2019</v>
      </c>
      <c r="D215" s="47"/>
      <c r="E215" s="47"/>
      <c r="F215" s="47"/>
      <c r="G215" s="47"/>
      <c r="H215" s="18"/>
    </row>
    <row r="216" spans="1:8" s="41" customFormat="1" ht="27.95" customHeight="1" thickBot="1" x14ac:dyDescent="0.3">
      <c r="A216" s="71"/>
      <c r="B216" s="71"/>
      <c r="C216" s="36">
        <v>2020</v>
      </c>
      <c r="D216" s="47">
        <f t="shared" ref="D216" si="52">E216+F216+G216+H216</f>
        <v>175261.9</v>
      </c>
      <c r="E216" s="47">
        <v>175261.9</v>
      </c>
      <c r="F216" s="47"/>
      <c r="G216" s="47"/>
      <c r="H216" s="18"/>
    </row>
    <row r="217" spans="1:8" s="41" customFormat="1" ht="27.95" customHeight="1" thickBot="1" x14ac:dyDescent="0.3">
      <c r="A217" s="72"/>
      <c r="B217" s="72"/>
      <c r="C217" s="36">
        <v>2021</v>
      </c>
      <c r="D217" s="47"/>
      <c r="E217" s="47"/>
      <c r="F217" s="47"/>
      <c r="G217" s="47"/>
      <c r="H217" s="18"/>
    </row>
    <row r="218" spans="1:8" s="41" customFormat="1" ht="16.5" customHeight="1" thickBot="1" x14ac:dyDescent="0.3">
      <c r="A218" s="73" t="s">
        <v>16</v>
      </c>
      <c r="B218" s="74"/>
      <c r="C218" s="35"/>
      <c r="D218" s="47">
        <f>SUM(D215:D217)</f>
        <v>175261.9</v>
      </c>
      <c r="E218" s="47">
        <f t="shared" ref="E218" si="53">SUM(E215:E217)</f>
        <v>175261.9</v>
      </c>
      <c r="F218" s="47"/>
      <c r="G218" s="47"/>
      <c r="H218" s="18"/>
    </row>
    <row r="219" spans="1:8" ht="42" customHeight="1" thickBot="1" x14ac:dyDescent="0.3">
      <c r="A219" s="70" t="s">
        <v>53</v>
      </c>
      <c r="B219" s="70" t="s">
        <v>54</v>
      </c>
      <c r="C219" s="36">
        <v>2019</v>
      </c>
      <c r="D219" s="47">
        <f t="shared" ref="D219:D220" si="54">E219+F219+G219+H219</f>
        <v>6600</v>
      </c>
      <c r="E219" s="47"/>
      <c r="F219" s="47"/>
      <c r="G219" s="47"/>
      <c r="H219" s="18">
        <v>6600</v>
      </c>
    </row>
    <row r="220" spans="1:8" ht="42" customHeight="1" thickBot="1" x14ac:dyDescent="0.3">
      <c r="A220" s="71"/>
      <c r="B220" s="71"/>
      <c r="C220" s="36">
        <v>2020</v>
      </c>
      <c r="D220" s="47">
        <f t="shared" si="54"/>
        <v>7900</v>
      </c>
      <c r="E220" s="47"/>
      <c r="F220" s="47"/>
      <c r="G220" s="47"/>
      <c r="H220" s="18">
        <v>7900</v>
      </c>
    </row>
    <row r="221" spans="1:8" ht="42" customHeight="1" thickBot="1" x14ac:dyDescent="0.3">
      <c r="A221" s="72"/>
      <c r="B221" s="72"/>
      <c r="C221" s="37">
        <v>2021</v>
      </c>
      <c r="D221" s="44">
        <f>H221</f>
        <v>1380000</v>
      </c>
      <c r="E221" s="44"/>
      <c r="F221" s="44"/>
      <c r="G221" s="44"/>
      <c r="H221" s="16">
        <v>1380000</v>
      </c>
    </row>
    <row r="222" spans="1:8" ht="16.5" thickBot="1" x14ac:dyDescent="0.3">
      <c r="A222" s="65" t="s">
        <v>16</v>
      </c>
      <c r="B222" s="66"/>
      <c r="C222" s="38"/>
      <c r="D222" s="44">
        <f>SUM(D219:D221)</f>
        <v>1394500</v>
      </c>
      <c r="E222" s="61"/>
      <c r="F222" s="62"/>
      <c r="G222" s="62"/>
      <c r="H222" s="39">
        <f>SUM(H219:H221)</f>
        <v>1394500</v>
      </c>
    </row>
    <row r="223" spans="1:8" x14ac:dyDescent="0.25">
      <c r="D223" s="63"/>
      <c r="E223" s="63"/>
      <c r="F223" s="63"/>
      <c r="G223" s="64"/>
    </row>
    <row r="225" spans="4:4" x14ac:dyDescent="0.25">
      <c r="D225" s="31"/>
    </row>
    <row r="226" spans="4:4" x14ac:dyDescent="0.25">
      <c r="D226" s="31"/>
    </row>
    <row r="227" spans="4:4" x14ac:dyDescent="0.25">
      <c r="D227" s="31"/>
    </row>
    <row r="228" spans="4:4" x14ac:dyDescent="0.25">
      <c r="D228" s="31"/>
    </row>
  </sheetData>
  <mergeCells count="106">
    <mergeCell ref="A10:A15"/>
    <mergeCell ref="B10:B15"/>
    <mergeCell ref="A16:B16"/>
    <mergeCell ref="A17:A22"/>
    <mergeCell ref="B17:B22"/>
    <mergeCell ref="A23:B23"/>
    <mergeCell ref="A3:H3"/>
    <mergeCell ref="A4:H4"/>
    <mergeCell ref="A5:H5"/>
    <mergeCell ref="A7:A8"/>
    <mergeCell ref="B7:B8"/>
    <mergeCell ref="C7:C8"/>
    <mergeCell ref="D7:H7"/>
    <mergeCell ref="A38:A43"/>
    <mergeCell ref="B38:B43"/>
    <mergeCell ref="A44:B44"/>
    <mergeCell ref="A45:A47"/>
    <mergeCell ref="B45:B47"/>
    <mergeCell ref="A48:B48"/>
    <mergeCell ref="A24:A29"/>
    <mergeCell ref="B24:B29"/>
    <mergeCell ref="A30:B30"/>
    <mergeCell ref="A31:A36"/>
    <mergeCell ref="B31:B36"/>
    <mergeCell ref="A37:B37"/>
    <mergeCell ref="A65:B65"/>
    <mergeCell ref="A66:A71"/>
    <mergeCell ref="B66:B71"/>
    <mergeCell ref="A72:B72"/>
    <mergeCell ref="A49:A54"/>
    <mergeCell ref="B49:B54"/>
    <mergeCell ref="A55:B55"/>
    <mergeCell ref="A60:B60"/>
    <mergeCell ref="A56:A59"/>
    <mergeCell ref="A61:A64"/>
    <mergeCell ref="B56:B59"/>
    <mergeCell ref="B61:B64"/>
    <mergeCell ref="A87:A92"/>
    <mergeCell ref="B87:B92"/>
    <mergeCell ref="A93:B93"/>
    <mergeCell ref="A94:A99"/>
    <mergeCell ref="B94:B99"/>
    <mergeCell ref="A100:B100"/>
    <mergeCell ref="A73:A78"/>
    <mergeCell ref="B73:B78"/>
    <mergeCell ref="A79:B79"/>
    <mergeCell ref="A80:A85"/>
    <mergeCell ref="B80:B85"/>
    <mergeCell ref="A86:B86"/>
    <mergeCell ref="A121:B121"/>
    <mergeCell ref="A122:A127"/>
    <mergeCell ref="B122:B127"/>
    <mergeCell ref="A128:B128"/>
    <mergeCell ref="A101:A106"/>
    <mergeCell ref="B101:B106"/>
    <mergeCell ref="A107:B107"/>
    <mergeCell ref="A108:A113"/>
    <mergeCell ref="B108:B113"/>
    <mergeCell ref="A115:A120"/>
    <mergeCell ref="B115:B120"/>
    <mergeCell ref="A140:B140"/>
    <mergeCell ref="A141:A146"/>
    <mergeCell ref="B141:B146"/>
    <mergeCell ref="A147:B147"/>
    <mergeCell ref="A148:A153"/>
    <mergeCell ref="B148:B153"/>
    <mergeCell ref="A130:B130"/>
    <mergeCell ref="A135:B135"/>
    <mergeCell ref="A131:A134"/>
    <mergeCell ref="A136:A139"/>
    <mergeCell ref="B131:B134"/>
    <mergeCell ref="B136:B139"/>
    <mergeCell ref="A168:B168"/>
    <mergeCell ref="A169:A174"/>
    <mergeCell ref="B169:B174"/>
    <mergeCell ref="A175:B175"/>
    <mergeCell ref="A176:A181"/>
    <mergeCell ref="B176:B181"/>
    <mergeCell ref="A154:B154"/>
    <mergeCell ref="A161:B161"/>
    <mergeCell ref="A162:A167"/>
    <mergeCell ref="B162:B167"/>
    <mergeCell ref="A155:A160"/>
    <mergeCell ref="B155:B160"/>
    <mergeCell ref="A196:B196"/>
    <mergeCell ref="A197:A202"/>
    <mergeCell ref="B197:B202"/>
    <mergeCell ref="A203:B203"/>
    <mergeCell ref="A182:B182"/>
    <mergeCell ref="A183:A188"/>
    <mergeCell ref="B183:B188"/>
    <mergeCell ref="A189:B189"/>
    <mergeCell ref="A190:A195"/>
    <mergeCell ref="B190:B195"/>
    <mergeCell ref="A222:B222"/>
    <mergeCell ref="A204:A209"/>
    <mergeCell ref="B204:B209"/>
    <mergeCell ref="A210:B210"/>
    <mergeCell ref="A215:A217"/>
    <mergeCell ref="B215:B217"/>
    <mergeCell ref="A218:B218"/>
    <mergeCell ref="A219:A221"/>
    <mergeCell ref="B219:B221"/>
    <mergeCell ref="A211:A213"/>
    <mergeCell ref="B211:B213"/>
    <mergeCell ref="A214:B214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Петровна Иванова</dc:creator>
  <cp:lastModifiedBy>Наталья Михайловна Торопова</cp:lastModifiedBy>
  <cp:lastPrinted>2019-12-24T14:20:15Z</cp:lastPrinted>
  <dcterms:created xsi:type="dcterms:W3CDTF">2019-11-06T08:37:30Z</dcterms:created>
  <dcterms:modified xsi:type="dcterms:W3CDTF">2020-09-30T10:23:36Z</dcterms:modified>
</cp:coreProperties>
</file>